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424" i="1" l="1"/>
  <c r="H611" i="1"/>
  <c r="H610" i="1"/>
  <c r="G610" i="1"/>
  <c r="F610" i="1"/>
  <c r="H520" i="1"/>
  <c r="H522" i="1"/>
  <c r="H521" i="1"/>
  <c r="H530" i="1"/>
  <c r="G530" i="1"/>
  <c r="H207" i="1" l="1"/>
  <c r="H243" i="1"/>
  <c r="H233" i="1"/>
  <c r="H215" i="1"/>
  <c r="H197" i="1"/>
  <c r="J208" i="1"/>
  <c r="I208" i="1"/>
  <c r="H208" i="1"/>
  <c r="G208" i="1"/>
  <c r="F208" i="1"/>
  <c r="J206" i="1"/>
  <c r="I206" i="1"/>
  <c r="H206" i="1"/>
  <c r="G206" i="1"/>
  <c r="F206" i="1"/>
  <c r="K204" i="1"/>
  <c r="J204" i="1"/>
  <c r="I204" i="1"/>
  <c r="H204" i="1"/>
  <c r="G204" i="1"/>
  <c r="F204" i="1"/>
  <c r="H203" i="1"/>
  <c r="K203" i="1"/>
  <c r="I203" i="1"/>
  <c r="G203" i="1"/>
  <c r="F203" i="1"/>
  <c r="J202" i="1"/>
  <c r="I202" i="1"/>
  <c r="H202" i="1"/>
  <c r="G202" i="1"/>
  <c r="F202" i="1"/>
  <c r="K201" i="1"/>
  <c r="I201" i="1"/>
  <c r="H201" i="1"/>
  <c r="G201" i="1"/>
  <c r="F201" i="1"/>
  <c r="J201" i="1"/>
  <c r="H232" i="1"/>
  <c r="K199" i="1"/>
  <c r="J199" i="1"/>
  <c r="I199" i="1"/>
  <c r="H199" i="1"/>
  <c r="G199" i="1"/>
  <c r="F199" i="1"/>
  <c r="I197" i="1"/>
  <c r="G197" i="1"/>
  <c r="F197" i="1"/>
  <c r="I281" i="1"/>
  <c r="K284" i="1"/>
  <c r="H281" i="1"/>
  <c r="G281" i="1"/>
  <c r="F281" i="1"/>
  <c r="I275" i="1"/>
  <c r="G275" i="1"/>
  <c r="F275" i="1"/>
  <c r="H276" i="1"/>
  <c r="H282" i="1"/>
  <c r="H280" i="1"/>
  <c r="I280" i="1"/>
  <c r="J276" i="1"/>
  <c r="I276" i="1"/>
  <c r="G276" i="1"/>
  <c r="F276" i="1"/>
  <c r="J287" i="1"/>
  <c r="H158" i="1"/>
  <c r="H154" i="1"/>
  <c r="G157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2" i="10"/>
  <c r="C13" i="10"/>
  <c r="C15" i="10"/>
  <c r="C16" i="10"/>
  <c r="C17" i="10"/>
  <c r="C18" i="10"/>
  <c r="C19" i="10"/>
  <c r="C20" i="10"/>
  <c r="C21" i="10"/>
  <c r="L249" i="1"/>
  <c r="L331" i="1"/>
  <c r="L253" i="1"/>
  <c r="C25" i="10"/>
  <c r="L267" i="1"/>
  <c r="L268" i="1"/>
  <c r="L348" i="1"/>
  <c r="L349" i="1"/>
  <c r="I664" i="1"/>
  <c r="I669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I19" i="1"/>
  <c r="F32" i="1"/>
  <c r="G32" i="1"/>
  <c r="H32" i="1"/>
  <c r="I32" i="1"/>
  <c r="F50" i="1"/>
  <c r="G50" i="1"/>
  <c r="H50" i="1"/>
  <c r="I50" i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I368" i="1" s="1"/>
  <c r="H633" i="1" s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H445" i="1"/>
  <c r="I445" i="1"/>
  <c r="G641" i="1" s="1"/>
  <c r="F451" i="1"/>
  <c r="G451" i="1"/>
  <c r="H451" i="1"/>
  <c r="I451" i="1"/>
  <c r="F459" i="1"/>
  <c r="F460" i="1" s="1"/>
  <c r="H638" i="1" s="1"/>
  <c r="G459" i="1"/>
  <c r="G460" i="1" s="1"/>
  <c r="H639" i="1" s="1"/>
  <c r="H459" i="1"/>
  <c r="I459" i="1"/>
  <c r="I460" i="1" s="1"/>
  <c r="H641" i="1" s="1"/>
  <c r="H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9" i="1"/>
  <c r="G640" i="1"/>
  <c r="H640" i="1"/>
  <c r="G642" i="1"/>
  <c r="H642" i="1"/>
  <c r="G643" i="1"/>
  <c r="G644" i="1"/>
  <c r="H646" i="1"/>
  <c r="G648" i="1"/>
  <c r="G649" i="1"/>
  <c r="G650" i="1"/>
  <c r="G651" i="1"/>
  <c r="H651" i="1"/>
  <c r="G652" i="1"/>
  <c r="H652" i="1"/>
  <c r="G653" i="1"/>
  <c r="H653" i="1"/>
  <c r="H654" i="1"/>
  <c r="F191" i="1"/>
  <c r="L255" i="1"/>
  <c r="K256" i="1"/>
  <c r="K270" i="1" s="1"/>
  <c r="C18" i="2"/>
  <c r="F31" i="2"/>
  <c r="C26" i="10"/>
  <c r="L327" i="1"/>
  <c r="H659" i="1" s="1"/>
  <c r="H663" i="1" s="1"/>
  <c r="L350" i="1"/>
  <c r="I661" i="1"/>
  <c r="L289" i="1"/>
  <c r="A31" i="12"/>
  <c r="C69" i="2"/>
  <c r="D12" i="13"/>
  <c r="C12" i="13" s="1"/>
  <c r="D61" i="2"/>
  <c r="D62" i="2" s="1"/>
  <c r="E49" i="2"/>
  <c r="D18" i="13"/>
  <c r="C18" i="13" s="1"/>
  <c r="D15" i="13"/>
  <c r="C15" i="13" s="1"/>
  <c r="F102" i="2"/>
  <c r="D18" i="2"/>
  <c r="E18" i="2"/>
  <c r="D17" i="13"/>
  <c r="C17" i="13" s="1"/>
  <c r="D6" i="13"/>
  <c r="C6" i="13" s="1"/>
  <c r="E8" i="13"/>
  <c r="C8" i="13" s="1"/>
  <c r="C90" i="2"/>
  <c r="G80" i="2"/>
  <c r="F77" i="2"/>
  <c r="F80" i="2" s="1"/>
  <c r="F61" i="2"/>
  <c r="F62" i="2" s="1"/>
  <c r="D31" i="2"/>
  <c r="C77" i="2"/>
  <c r="D49" i="2"/>
  <c r="G156" i="2"/>
  <c r="F49" i="2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E77" i="2"/>
  <c r="E80" i="2" s="1"/>
  <c r="L426" i="1"/>
  <c r="H111" i="1"/>
  <c r="F111" i="1"/>
  <c r="J640" i="1"/>
  <c r="K604" i="1"/>
  <c r="G647" i="1" s="1"/>
  <c r="J570" i="1"/>
  <c r="K570" i="1"/>
  <c r="L432" i="1"/>
  <c r="D80" i="2"/>
  <c r="I168" i="1"/>
  <c r="H168" i="1"/>
  <c r="G551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F168" i="1"/>
  <c r="J139" i="1"/>
  <c r="F570" i="1"/>
  <c r="I551" i="1"/>
  <c r="K548" i="1"/>
  <c r="K549" i="1"/>
  <c r="G22" i="2"/>
  <c r="K597" i="1"/>
  <c r="G646" i="1" s="1"/>
  <c r="J646" i="1" s="1"/>
  <c r="K544" i="1"/>
  <c r="J551" i="1"/>
  <c r="H551" i="1"/>
  <c r="C29" i="10"/>
  <c r="I660" i="1"/>
  <c r="H139" i="1"/>
  <c r="L400" i="1"/>
  <c r="C138" i="2" s="1"/>
  <c r="L392" i="1"/>
  <c r="A13" i="12"/>
  <c r="F22" i="13"/>
  <c r="C22" i="13" s="1"/>
  <c r="H25" i="13"/>
  <c r="C25" i="13" s="1"/>
  <c r="J650" i="1"/>
  <c r="H570" i="1"/>
  <c r="L559" i="1"/>
  <c r="J544" i="1"/>
  <c r="H337" i="1"/>
  <c r="H351" i="1" s="1"/>
  <c r="F337" i="1"/>
  <c r="F351" i="1" s="1"/>
  <c r="G191" i="1"/>
  <c r="H191" i="1"/>
  <c r="F551" i="1"/>
  <c r="C35" i="10"/>
  <c r="L308" i="1"/>
  <c r="E16" i="13"/>
  <c r="C16" i="13" s="1"/>
  <c r="C49" i="2"/>
  <c r="C50" i="2" s="1"/>
  <c r="J654" i="1"/>
  <c r="L569" i="1"/>
  <c r="I570" i="1"/>
  <c r="I544" i="1"/>
  <c r="J635" i="1"/>
  <c r="G36" i="2"/>
  <c r="L564" i="1"/>
  <c r="G544" i="1"/>
  <c r="L544" i="1"/>
  <c r="H544" i="1"/>
  <c r="K550" i="1"/>
  <c r="C137" i="2"/>
  <c r="H33" i="13"/>
  <c r="L418" i="1" l="1"/>
  <c r="H407" i="1"/>
  <c r="H643" i="1" s="1"/>
  <c r="J643" i="1" s="1"/>
  <c r="L336" i="1"/>
  <c r="I256" i="1"/>
  <c r="I270" i="1" s="1"/>
  <c r="G256" i="1"/>
  <c r="G270" i="1" s="1"/>
  <c r="G159" i="2"/>
  <c r="A40" i="12"/>
  <c r="G407" i="1"/>
  <c r="H644" i="1" s="1"/>
  <c r="J633" i="1"/>
  <c r="J256" i="1"/>
  <c r="J270" i="1" s="1"/>
  <c r="G161" i="2"/>
  <c r="G158" i="2"/>
  <c r="C23" i="10"/>
  <c r="D7" i="13"/>
  <c r="C7" i="13" s="1"/>
  <c r="L228" i="1"/>
  <c r="K551" i="1"/>
  <c r="J648" i="1"/>
  <c r="H256" i="1"/>
  <c r="H270" i="1" s="1"/>
  <c r="C127" i="2"/>
  <c r="C109" i="2"/>
  <c r="C11" i="10"/>
  <c r="C108" i="2"/>
  <c r="D5" i="13"/>
  <c r="C5" i="13" s="1"/>
  <c r="L210" i="1"/>
  <c r="L256" i="1" s="1"/>
  <c r="L270" i="1" s="1"/>
  <c r="G631" i="1" s="1"/>
  <c r="J631" i="1" s="1"/>
  <c r="C10" i="10"/>
  <c r="E127" i="2"/>
  <c r="E144" i="2" s="1"/>
  <c r="J644" i="1"/>
  <c r="J639" i="1"/>
  <c r="J638" i="1"/>
  <c r="I51" i="1"/>
  <c r="H619" i="1" s="1"/>
  <c r="H51" i="1"/>
  <c r="H618" i="1" s="1"/>
  <c r="J618" i="1" s="1"/>
  <c r="G51" i="1"/>
  <c r="H617" i="1" s="1"/>
  <c r="F51" i="1"/>
  <c r="H616" i="1" s="1"/>
  <c r="J616" i="1" s="1"/>
  <c r="G163" i="2"/>
  <c r="C114" i="2"/>
  <c r="E50" i="2"/>
  <c r="E33" i="13"/>
  <c r="D35" i="13" s="1"/>
  <c r="F50" i="2"/>
  <c r="C80" i="2"/>
  <c r="L337" i="1"/>
  <c r="L351" i="1" s="1"/>
  <c r="G632" i="1" s="1"/>
  <c r="J632" i="1" s="1"/>
  <c r="C24" i="10"/>
  <c r="G659" i="1"/>
  <c r="G663" i="1" s="1"/>
  <c r="G671" i="1" s="1"/>
  <c r="C5" i="10" s="1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H666" i="1"/>
  <c r="H671" i="1"/>
  <c r="C6" i="10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42" i="2"/>
  <c r="J50" i="1"/>
  <c r="G16" i="2"/>
  <c r="G18" i="2" s="1"/>
  <c r="J19" i="1"/>
  <c r="G620" i="1" s="1"/>
  <c r="F544" i="1"/>
  <c r="H433" i="1"/>
  <c r="J619" i="1"/>
  <c r="D102" i="2"/>
  <c r="D103" i="2" s="1"/>
  <c r="I139" i="1"/>
  <c r="I192" i="1" s="1"/>
  <c r="G629" i="1" s="1"/>
  <c r="J629" i="1" s="1"/>
  <c r="A22" i="12"/>
  <c r="G49" i="2"/>
  <c r="G50" i="2" s="1"/>
  <c r="H647" i="1"/>
  <c r="J647" i="1" s="1"/>
  <c r="C103" i="2"/>
  <c r="J651" i="1"/>
  <c r="J641" i="1"/>
  <c r="G570" i="1"/>
  <c r="I433" i="1"/>
  <c r="G433" i="1"/>
  <c r="E103" i="2"/>
  <c r="I662" i="1"/>
  <c r="C27" i="10"/>
  <c r="C28" i="10" s="1"/>
  <c r="G634" i="1"/>
  <c r="J634" i="1" s="1"/>
  <c r="G666" i="1" l="1"/>
  <c r="F659" i="1"/>
  <c r="C144" i="2"/>
  <c r="H645" i="1"/>
  <c r="J645" i="1" s="1"/>
  <c r="D31" i="13"/>
  <c r="C31" i="13" s="1"/>
  <c r="G630" i="1"/>
  <c r="J630" i="1" s="1"/>
  <c r="G192" i="1"/>
  <c r="G627" i="1" s="1"/>
  <c r="J627" i="1" s="1"/>
  <c r="G625" i="1"/>
  <c r="J625" i="1" s="1"/>
  <c r="J51" i="1"/>
  <c r="H620" i="1" s="1"/>
  <c r="J620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F663" i="1" l="1"/>
  <c r="I659" i="1"/>
  <c r="I663" i="1" s="1"/>
  <c r="I671" i="1" s="1"/>
  <c r="C7" i="10" s="1"/>
  <c r="D33" i="13"/>
  <c r="D36" i="13" s="1"/>
  <c r="H655" i="1"/>
  <c r="D28" i="10"/>
  <c r="C41" i="10"/>
  <c r="D38" i="10" s="1"/>
  <c r="I666" i="1" l="1"/>
  <c r="F671" i="1"/>
  <c r="C4" i="10" s="1"/>
  <c r="F66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<sst xmlns="http://schemas.openxmlformats.org/spreadsheetml/2006/main" count="3944" uniqueCount="910">
  <si>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</si>
  <si>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</si>
  <si>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</si>
  <si>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</si>
  <si>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</si>
  <si>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</si>
  <si>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</si>
  <si>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</si>
  <si>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</si>
  <si>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</si>
  <si>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</si>
  <si>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</si>
  <si>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</si>
  <si>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</si>
  <si>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</si>
  <si>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</si>
  <si>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</si>
  <si>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</si>
  <si>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</si>
  <si>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</si>
  <si>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</si>
  <si>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</si>
  <si>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</si>
  <si>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</si>
  <si>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</si>
  <si>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</si>
  <si>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</si>
  <si>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</si>
  <si>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</si>
  <si>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</si>
  <si>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</si>
  <si>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</si>
  <si>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</si>
  <si>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</si>
  <si>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</si>
  <si>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</si>
  <si>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</si>
  <si>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</si>
  <si>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</si>
  <si>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</si>
  <si>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</si>
  <si>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</si>
  <si>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</si>
  <si>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</si>
  <si>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</si>
  <si>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</si>
  <si>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</si>
  <si>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</si>
  <si>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</si>
  <si>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</si>
  <si>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</si>
  <si>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</si>
  <si>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</si>
  <si>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</si>
  <si>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</si>
  <si>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</si>
  <si>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</si>
  <si>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</si>
  <si>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</si>
  <si>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</si>
  <si>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</si>
  <si>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</si>
  <si>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</si>
  <si>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</si>
  <si>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</si>
  <si>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</si>
  <si>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</si>
  <si>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</si>
  <si>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</si>
  <si>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</si>
  <si>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</si>
  <si>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</si>
  <si>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</si>
  <si>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</si>
  <si>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</si>
  <si>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</si>
  <si>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</si>
  <si>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</si>
  <si>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</si>
  <si>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</si>
  <si>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</si>
  <si>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</si>
  <si>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</si>
  <si>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</si>
  <si>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</si>
  <si>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</si>
  <si>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</si>
  <si>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</si>
  <si>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</si>
  <si>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</si>
  <si>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</si>
  <si>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</si>
  <si>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</si>
  <si>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</si>
  <si>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</si>
  <si>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</si>
  <si>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</si>
  <si>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</si>
  <si>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</si>
  <si>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</si>
  <si>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</si>
  <si>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</si>
  <si>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</si>
  <si>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</si>
  <si>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</si>
  <si>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</si>
  <si>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</si>
  <si>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</si>
  <si>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</si>
  <si>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</si>
  <si>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</si>
  <si>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</si>
  <si>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</si>
  <si>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</si>
  <si>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</si>
  <si>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</si>
  <si>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</si>
  <si>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</si>
  <si>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</si>
  <si>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</si>
  <si>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</si>
  <si>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</si>
  <si>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</si>
  <si>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</si>
  <si>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</si>
  <si>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</si>
  <si>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</si>
  <si>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</si>
  <si>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</si>
  <si>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</si>
  <si>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</si>
  <si>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</si>
  <si>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</si>
  <si>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</si>
  <si>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</si>
  <si>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</si>
  <si>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</si>
  <si>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</si>
  <si>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</si>
  <si>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</si>
  <si>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</si>
  <si>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</si>
  <si>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</si>
  <si>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</si>
  <si>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</si>
  <si>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</si>
  <si>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</si>
  <si>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</si>
  <si>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</si>
  <si>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</si>
  <si>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</si>
  <si>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</si>
  <si>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</si>
  <si>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</si>
  <si>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</si>
  <si>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</si>
  <si>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</si>
  <si>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</si>
  <si>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</si>
  <si>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</si>
  <si>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</si>
  <si>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</si>
  <si>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</si>
  <si>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</si>
  <si>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</si>
  <si>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</si>
  <si>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</si>
  <si>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</si>
  <si>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</si>
  <si>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</si>
  <si>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</si>
  <si>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</si>
  <si>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</si>
  <si>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</si>
  <si>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</si>
  <si>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</si>
  <si>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</si>
  <si>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</si>
  <si>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</si>
  <si>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</si>
  <si>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</si>
  <si>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</si>
  <si>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</si>
  <si>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</si>
  <si>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</si>
  <si>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</si>
  <si>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</si>
  <si>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</si>
  <si>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</si>
  <si>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</si>
  <si>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</si>
  <si>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</si>
  <si>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</si>
  <si>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</si>
  <si>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</si>
  <si>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</si>
  <si>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</si>
  <si>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</si>
  <si>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</si>
  <si>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</si>
  <si>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</si>
  <si>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</si>
  <si>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</si>
  <si>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</si>
  <si>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</si>
  <si>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</si>
  <si>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</si>
  <si>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</si>
  <si>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</si>
  <si>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</si>
  <si>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</si>
  <si>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</si>
  <si>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</si>
  <si>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</si>
  <si>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</si>
  <si>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</si>
  <si>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</si>
  <si>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</si>
  <si>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</si>
  <si>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</si>
  <si>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</si>
  <si>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</si>
  <si>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</si>
  <si>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</si>
  <si>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</si>
  <si>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</si>
  <si>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</si>
  <si>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</si>
  <si>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</si>
  <si>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</si>
  <si>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</si>
  <si>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</si>
  <si>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</si>
  <si>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</si>
  <si>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</si>
  <si>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</si>
  <si>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</si>
  <si>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</si>
  <si>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</si>
  <si>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</si>
  <si>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</si>
  <si>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</si>
  <si>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</si>
  <si>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</si>
  <si>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</si>
  <si>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</si>
  <si>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</si>
  <si>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</si>
  <si>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</si>
  <si>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</si>
  <si>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</si>
  <si>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</si>
  <si>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</si>
  <si>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</si>
  <si>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</si>
  <si>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</si>
  <si>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</si>
  <si>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</si>
  <si>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</si>
  <si>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</si>
  <si>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</si>
  <si>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</si>
  <si>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</si>
  <si>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</si>
  <si>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</si>
  <si>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</si>
  <si>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</si>
  <si>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</si>
  <si>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</si>
  <si>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</si>
  <si>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</si>
  <si>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</si>
  <si>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</si>
  <si>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</si>
  <si>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</si>
  <si>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</si>
  <si>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</si>
  <si>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</si>
  <si>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</si>
  <si>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</si>
  <si>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</si>
  <si>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</si>
  <si>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</si>
  <si>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</si>
  <si>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</si>
  <si>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</si>
  <si>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</si>
  <si>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</si>
  <si>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</si>
  <si>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</si>
  <si>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</si>
  <si>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</si>
  <si>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</si>
  <si>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</si>
  <si>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</si>
  <si>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</si>
  <si>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</si>
  <si>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</si>
  <si>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</si>
  <si>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</si>
  <si>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</si>
  <si>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</si>
  <si>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</si>
  <si>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</si>
  <si>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</si>
  <si>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</si>
  <si>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</si>
  <si>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</si>
  <si>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</si>
  <si>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</si>
  <si>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</si>
  <si>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</si>
  <si>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</si>
  <si>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</si>
  <si>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</si>
  <si>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</si>
  <si>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</si>
  <si>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</si>
  <si>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</si>
  <si>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</si>
  <si>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</si>
  <si>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</si>
  <si>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</si>
  <si>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</si>
  <si>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</si>
  <si>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</si>
  <si>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</si>
  <si>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</si>
  <si>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</si>
  <si>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</si>
  <si>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</si>
  <si>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</si>
  <si>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</si>
  <si>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</si>
  <si>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</si>
  <si>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</si>
  <si>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</si>
  <si>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</si>
  <si>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</si>
  <si>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</si>
  <si>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</si>
  <si>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</si>
  <si>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</si>
  <si>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</si>
  <si>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</si>
  <si>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</si>
  <si>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</si>
  <si>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</si>
  <si>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</si>
  <si>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</si>
  <si>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</si>
  <si>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</si>
  <si>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</si>
  <si>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</si>
  <si>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</si>
  <si>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</si>
  <si>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</si>
  <si>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</si>
  <si>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</si>
  <si>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</si>
  <si>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</si>
  <si>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</si>
  <si>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</si>
  <si>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</si>
  <si>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</si>
  <si>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</si>
  <si>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</si>
  <si>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</si>
  <si>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</si>
  <si>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</si>
  <si>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</si>
  <si>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</si>
  <si>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</si>
  <si>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</si>
  <si>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</si>
  <si>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</si>
  <si>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</si>
  <si>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</si>
  <si>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</si>
  <si>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</si>
  <si>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</si>
  <si>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</si>
  <si>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</si>
  <si>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</si>
  <si>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</si>
  <si>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</si>
  <si>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</si>
  <si>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</si>
  <si>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</si>
  <si>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</si>
  <si>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</si>
  <si>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</si>
  <si>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</si>
  <si>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</si>
  <si>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</si>
  <si>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</si>
  <si>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</si>
  <si>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</si>
  <si>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</si>
  <si>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</si>
  <si>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</si>
  <si>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</si>
  <si>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</si>
  <si>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</si>
  <si>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</si>
  <si>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</si>
  <si>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</si>
  <si>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</si>
  <si>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</si>
  <si>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</si>
  <si>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</si>
  <si>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</si>
  <si>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</si>
  <si>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</si>
  <si>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</si>
  <si>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</si>
  <si>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</si>
  <si>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</si>
  <si>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</si>
  <si>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</si>
  <si>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</si>
  <si>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</si>
  <si>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</si>
  <si>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</si>
  <si>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</si>
  <si>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</si>
  <si>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</si>
  <si>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</si>
  <si>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</si>
  <si>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</si>
  <si>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</si>
  <si>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</si>
  <si>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</si>
  <si>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</si>
  <si>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</si>
  <si>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</si>
  <si>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</si>
  <si>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</si>
  <si>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</si>
  <si>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</si>
  <si>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</si>
  <si>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</si>
  <si>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</si>
  <si>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</si>
  <si>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</si>
  <si>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</si>
  <si>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</si>
  <si>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</si>
  <si>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</si>
  <si>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</si>
  <si>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</si>
  <si>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</si>
  <si>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</si>
  <si>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</si>
  <si>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</si>
  <si>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</si>
  <si>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</si>
  <si>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</si>
  <si>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</si>
  <si>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</si>
  <si>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</si>
  <si>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</si>
  <si>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</si>
  <si>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</si>
  <si>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</si>
  <si>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</si>
  <si>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</si>
  <si>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</si>
  <si>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</si>
  <si>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</si>
  <si>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</si>
  <si>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</si>
  <si>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</si>
  <si>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</si>
  <si>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</si>
  <si>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</si>
  <si>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</si>
  <si>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</si>
  <si>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</si>
  <si>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</si>
  <si>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</si>
  <si>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</si>
  <si>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</si>
  <si>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</si>
  <si>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</si>
  <si>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</si>
  <si>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</si>
  <si>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</si>
  <si>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</si>
  <si>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</si>
  <si>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</si>
  <si>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</si>
  <si>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</si>
  <si>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</si>
  <si>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</si>
  <si>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</si>
  <si>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</si>
  <si>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</si>
  <si>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</si>
  <si>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</si>
  <si>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</si>
  <si>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</si>
  <si>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</si>
  <si>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</si>
  <si>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</si>
  <si>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</si>
  <si>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</si>
  <si>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</si>
  <si>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</si>
  <si>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</si>
  <si>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</si>
  <si>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</si>
  <si>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</si>
  <si>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</si>
  <si>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</si>
  <si>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</si>
  <si>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</si>
  <si>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</si>
  <si>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</si>
  <si>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</si>
  <si>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</si>
  <si>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</si>
  <si>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</si>
  <si>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</si>
  <si>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</si>
  <si>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</si>
  <si>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</si>
  <si>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</si>
  <si>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</si>
  <si>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</si>
  <si>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</si>
  <si>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</si>
  <si>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</si>
  <si>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</si>
  <si>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</si>
  <si>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</si>
  <si>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</si>
  <si>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</si>
  <si>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</si>
  <si>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</si>
  <si>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</si>
  <si>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</si>
  <si>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</si>
  <si>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</si>
  <si>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</si>
  <si>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</si>
  <si>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</si>
  <si>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</si>
  <si>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</si>
  <si>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</si>
  <si>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</si>
  <si>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</si>
  <si>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</si>
  <si>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</si>
  <si>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</si>
  <si>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</si>
  <si>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</si>
  <si>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</si>
  <si>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</si>
  <si>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</si>
  <si>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</si>
  <si>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</si>
  <si>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</si>
  <si>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</si>
  <si>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</si>
  <si>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</si>
  <si>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</si>
  <si>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</si>
  <si>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</si>
  <si>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</si>
  <si>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</si>
  <si>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</si>
  <si>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</si>
  <si>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</si>
  <si>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</si>
  <si>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</si>
  <si>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</si>
  <si>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</si>
  <si>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</si>
  <si>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</si>
  <si>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</si>
  <si>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</si>
  <si>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</si>
  <si>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</si>
  <si>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</si>
  <si>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</si>
  <si>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</si>
  <si>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</si>
  <si>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</si>
  <si>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</si>
  <si>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</si>
  <si>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</si>
  <si>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</si>
  <si>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</si>
  <si>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</si>
  <si>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</si>
  <si>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</si>
  <si>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</si>
  <si>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</si>
  <si>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</si>
  <si>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</si>
  <si>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</si>
  <si>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</si>
  <si>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</si>
  <si>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</si>
  <si>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</si>
  <si>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</si>
  <si>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</si>
  <si>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</si>
  <si>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</si>
  <si>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</si>
  <si>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</si>
  <si>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</si>
  <si>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</si>
  <si>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</si>
  <si>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</si>
  <si>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</si>
  <si>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</si>
  <si>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</si>
  <si>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</si>
  <si>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</si>
  <si>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</si>
  <si>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</si>
  <si>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</si>
  <si>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</si>
  <si>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</si>
  <si>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</si>
  <si>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</si>
  <si>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</si>
  <si>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</si>
  <si>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</si>
  <si>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</si>
  <si>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</si>
  <si>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</si>
  <si>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</si>
  <si>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</si>
  <si>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</si>
  <si>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</si>
  <si>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</si>
  <si>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</si>
  <si>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</si>
  <si>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</si>
  <si>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</si>
  <si>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</si>
  <si>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</si>
  <si>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</si>
  <si>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</si>
  <si>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</si>
  <si>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</si>
  <si>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</si>
  <si>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</si>
  <si>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</si>
  <si>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</si>
  <si>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</si>
  <si>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</si>
  <si>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</si>
  <si>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</si>
  <si>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</si>
  <si>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</si>
  <si>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</si>
  <si>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</si>
  <si>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</si>
  <si>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</si>
  <si>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</si>
  <si>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</si>
  <si>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</si>
  <si>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</si>
  <si>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</si>
  <si>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</si>
  <si>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</si>
  <si>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</si>
  <si>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</si>
  <si>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</si>
  <si>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</si>
  <si>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</si>
  <si>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</si>
  <si>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</si>
  <si>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</si>
  <si>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</si>
  <si>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</si>
  <si>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</si>
  <si>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</si>
  <si>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</si>
  <si>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</si>
  <si>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</si>
  <si>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</si>
  <si>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</si>
  <si>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</si>
  <si>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</si>
  <si>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</si>
  <si>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</si>
  <si>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</si>
  <si>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</si>
  <si>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</si>
  <si>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</si>
  <si>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</si>
  <si>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</si>
  <si>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</si>
  <si>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</si>
  <si>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</si>
  <si>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</si>
  <si>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</si>
  <si>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</si>
  <si>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</si>
  <si>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</si>
  <si>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</si>
  <si>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</si>
  <si>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</si>
  <si>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</si>
  <si>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</si>
  <si>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</si>
  <si>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</si>
  <si>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</si>
  <si>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</si>
  <si>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</si>
  <si>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</si>
  <si>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</si>
  <si>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</si>
  <si>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</si>
  <si>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</si>
  <si>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</si>
  <si>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</si>
  <si>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</si>
  <si>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</si>
  <si>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</si>
  <si>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</si>
  <si>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</si>
  <si>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</si>
  <si>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</si>
  <si>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</si>
  <si>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</si>
  <si>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</si>
  <si>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</si>
  <si>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</si>
  <si>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</si>
  <si>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</si>
  <si>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</si>
  <si>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</si>
  <si>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</si>
  <si>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</si>
  <si>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</si>
  <si>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</si>
  <si>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</si>
  <si>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</si>
  <si>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</si>
  <si>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</si>
  <si>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</si>
  <si>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</si>
  <si>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</si>
  <si>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</si>
  <si>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</si>
  <si>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</si>
  <si>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</si>
  <si>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</si>
  <si>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</si>
  <si>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</si>
  <si>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</si>
  <si>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</si>
  <si>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</si>
  <si>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</si>
  <si>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</si>
  <si>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</si>
  <si>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</si>
  <si>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</si>
  <si>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</si>
  <si>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</si>
  <si>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</si>
  <si>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</si>
  <si>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</si>
  <si>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</si>
  <si>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</si>
  <si>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</si>
  <si>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</si>
  <si>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</si>
  <si>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</si>
  <si>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</si>
  <si>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</si>
  <si>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</si>
  <si>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</si>
  <si>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</si>
  <si>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</si>
  <si>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</si>
  <si>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</si>
  <si>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</si>
  <si>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</si>
  <si>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</si>
  <si>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</si>
  <si>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</si>
  <si>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</si>
  <si>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</si>
  <si>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</si>
  <si>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</si>
  <si>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</si>
  <si>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</si>
  <si>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</si>
  <si>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</si>
  <si>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</si>
  <si>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</si>
  <si>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</si>
  <si>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</si>
  <si>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</si>
  <si>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</si>
  <si>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</si>
  <si>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</si>
  <si>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</si>
  <si>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</si>
  <si>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</si>
  <si>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</si>
  <si>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</si>
  <si>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</si>
  <si>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</si>
  <si>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</si>
  <si>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</si>
  <si>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</si>
  <si>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</si>
  <si>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</si>
  <si>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</si>
  <si>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</si>
  <si>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</si>
  <si>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</si>
  <si>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</si>
  <si>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</si>
  <si>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</si>
  <si>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</si>
  <si>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</si>
  <si>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</si>
  <si>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</si>
  <si>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</si>
  <si>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</si>
  <si>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</si>
  <si>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</si>
  <si>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</si>
  <si>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</si>
  <si>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</si>
  <si>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</si>
  <si>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</si>
  <si>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</si>
  <si>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</si>
  <si>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</si>
  <si>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</si>
  <si>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</si>
  <si>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</si>
  <si>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</si>
  <si>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</si>
  <si>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</si>
  <si>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</si>
  <si>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</si>
  <si>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</si>
  <si>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</si>
  <si>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</si>
  <si>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</si>
  <si>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</si>
  <si>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</si>
  <si>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</si>
  <si>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</si>
  <si>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</si>
  <si>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</si>
  <si>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</si>
  <si>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</si>
  <si>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</si>
  <si>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</si>
  <si>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</si>
  <si>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</si>
  <si>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</si>
  <si>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</si>
  <si>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</si>
  <si>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</si>
  <si>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</si>
  <si>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</si>
  <si>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</si>
  <si>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</si>
  <si>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</si>
  <si>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</si>
  <si>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</si>
  <si>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</si>
  <si>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</si>
  <si>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</si>
  <si>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</si>
  <si>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</si>
  <si>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</si>
  <si>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</si>
  <si>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</si>
  <si>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</si>
  <si>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</si>
  <si>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</si>
  <si>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</si>
  <si>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</si>
  <si>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</si>
  <si>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</si>
  <si>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</si>
  <si>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</si>
  <si>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</si>
  <si>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</si>
  <si>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</si>
  <si>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</si>
  <si>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</si>
  <si>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</si>
  <si>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</si>
  <si>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</si>
  <si>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</si>
  <si>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</si>
  <si>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</si>
  <si>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</si>
  <si>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</si>
  <si>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</si>
  <si>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</si>
  <si>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</si>
  <si>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</si>
  <si>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</si>
  <si>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Candia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</si>
</sst>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G669" sqref="G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79</v>
      </c>
      <c r="C2" s="21">
        <v>79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616920.07999999996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78600.03</v>
      </c>
      <c r="G12" s="18">
        <v>21431.13</v>
      </c>
      <c r="H12" s="18"/>
      <c r="I12" s="18"/>
      <c r="J12" s="67">
        <f>SUM(I440)</f>
        <v>567439.55000000005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7827.5</v>
      </c>
      <c r="G13" s="18">
        <v>10281.69</v>
      </c>
      <c r="H13" s="18">
        <v>64022.42</v>
      </c>
      <c r="I13" s="18">
        <v>17866</v>
      </c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831.51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704179.12</v>
      </c>
      <c r="G19" s="41">
        <f>SUM(G9:G18)</f>
        <v>31712.82</v>
      </c>
      <c r="H19" s="41">
        <f>SUM(H9:H18)</f>
        <v>64022.42</v>
      </c>
      <c r="I19" s="41">
        <f>SUM(I9:I18)</f>
        <v>17866</v>
      </c>
      <c r="J19" s="41">
        <f>SUM(J9:J18)</f>
        <v>567439.55000000005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21431.13</v>
      </c>
      <c r="G22" s="18"/>
      <c r="H22" s="18">
        <v>60734.03</v>
      </c>
      <c r="I22" s="18">
        <v>17866</v>
      </c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177434.69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9023.23</v>
      </c>
      <c r="G28" s="18">
        <v>43.93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3102.27</v>
      </c>
      <c r="H30" s="18">
        <v>3288.39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207889.05000000002</v>
      </c>
      <c r="G32" s="41">
        <f>SUM(G22:G31)</f>
        <v>3146.2</v>
      </c>
      <c r="H32" s="41">
        <f>SUM(H22:H31)</f>
        <v>64022.42</v>
      </c>
      <c r="I32" s="41">
        <f>SUM(I22:I31)</f>
        <v>17866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62500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28566.62</v>
      </c>
      <c r="H47" s="18"/>
      <c r="I47" s="18"/>
      <c r="J47" s="13">
        <f>SUM(I458)</f>
        <v>567439.55000000005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110456.4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323333.67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496290.06999999995</v>
      </c>
      <c r="G50" s="41">
        <f>SUM(G35:G49)</f>
        <v>28566.62</v>
      </c>
      <c r="H50" s="41">
        <f>SUM(H35:H49)</f>
        <v>0</v>
      </c>
      <c r="I50" s="41">
        <f>SUM(I35:I49)</f>
        <v>0</v>
      </c>
      <c r="J50" s="41">
        <f>SUM(J35:J49)</f>
        <v>567439.55000000005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704179.12</v>
      </c>
      <c r="G51" s="41">
        <f>G50+G32</f>
        <v>31712.82</v>
      </c>
      <c r="H51" s="41">
        <f>H50+H32</f>
        <v>64022.42</v>
      </c>
      <c r="I51" s="41">
        <f>I50+I32</f>
        <v>17866</v>
      </c>
      <c r="J51" s="41">
        <f>J50+J32</f>
        <v>567439.55000000005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5397285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5397285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11447.5</v>
      </c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11447.5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233.71</v>
      </c>
      <c r="G95" s="18"/>
      <c r="H95" s="18"/>
      <c r="I95" s="18"/>
      <c r="J95" s="18">
        <v>422.26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109103.1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1500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576.71</v>
      </c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54874.93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280.57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56889.21</v>
      </c>
      <c r="G110" s="41">
        <f>SUM(G95:G109)</f>
        <v>109103.1</v>
      </c>
      <c r="H110" s="41">
        <f>SUM(H95:H109)</f>
        <v>576.71</v>
      </c>
      <c r="I110" s="41">
        <f>SUM(I95:I109)</f>
        <v>0</v>
      </c>
      <c r="J110" s="41">
        <f>SUM(J95:J109)</f>
        <v>422.26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5465621.71</v>
      </c>
      <c r="G111" s="41">
        <f>G59+G110</f>
        <v>109103.1</v>
      </c>
      <c r="H111" s="41">
        <f>H59+H78+H93+H110</f>
        <v>576.71</v>
      </c>
      <c r="I111" s="41">
        <f>I59+I110</f>
        <v>0</v>
      </c>
      <c r="J111" s="41">
        <f>J59+J110</f>
        <v>422.26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1368798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878332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2247130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48417.52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1870.31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48417.52</v>
      </c>
      <c r="G135" s="41">
        <f>SUM(G122:G134)</f>
        <v>1870.31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2295547.52</v>
      </c>
      <c r="G139" s="41">
        <f>G120+SUM(G135:G136)</f>
        <v>1870.31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35164.480000000003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18050.93+16962+5787.48+15288.89</f>
        <v>56089.3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38420.92+8027.46+7054.9</f>
        <v>53503.28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1309.59+108511.15+6493.02</f>
        <v>116313.76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31138.080000000002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31138.080000000002</v>
      </c>
      <c r="G161" s="41">
        <f>SUM(G149:G160)</f>
        <v>53503.28</v>
      </c>
      <c r="H161" s="41">
        <f>SUM(H149:H160)</f>
        <v>207567.53999999998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31138.080000000002</v>
      </c>
      <c r="G168" s="41">
        <f>G146+G161+SUM(G162:G167)</f>
        <v>53503.28</v>
      </c>
      <c r="H168" s="41">
        <f>H146+H161+SUM(H162:H167)</f>
        <v>207567.53999999998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20000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20000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20000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7792307.3100000005</v>
      </c>
      <c r="G192" s="47">
        <f>G111+G139+G168+G191</f>
        <v>164476.69</v>
      </c>
      <c r="H192" s="47">
        <f>H111+H139+H168+H191</f>
        <v>208144.24999999997</v>
      </c>
      <c r="I192" s="47">
        <f>I111+I139+I168+I191</f>
        <v>0</v>
      </c>
      <c r="J192" s="47">
        <f>J111+J139+J191</f>
        <v>20422.259999999998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1600806.87</v>
      </c>
      <c r="G196" s="18">
        <v>630173.1</v>
      </c>
      <c r="H196" s="18">
        <v>7537.15</v>
      </c>
      <c r="I196" s="18">
        <v>157136.59</v>
      </c>
      <c r="J196" s="18">
        <v>24508.62</v>
      </c>
      <c r="K196" s="18"/>
      <c r="L196" s="19">
        <f>SUM(F196:K196)</f>
        <v>2420162.33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432114.8+3600+3480.5+7972.88+59188.47</f>
        <v>506356.65</v>
      </c>
      <c r="G197" s="18">
        <f>128387.94+541.56+599.6+609.93+14516.22+728.46+45+157.92+4210.37+6688.27+75.55+157.78</f>
        <v>156718.59999999998</v>
      </c>
      <c r="H197" s="18">
        <f>12745.32+9199.25+50116.32+3780</f>
        <v>75840.89</v>
      </c>
      <c r="I197" s="18">
        <f>251.98+467.68</f>
        <v>719.66</v>
      </c>
      <c r="J197" s="18">
        <v>599.99</v>
      </c>
      <c r="K197" s="18"/>
      <c r="L197" s="19">
        <f>SUM(F197:K197)</f>
        <v>740235.79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6200+2700+10950</f>
        <v>19850</v>
      </c>
      <c r="G199" s="18">
        <f>660.63+788.8+830.34+627.01</f>
        <v>2906.7799999999997</v>
      </c>
      <c r="H199" s="18">
        <f>3587+5010</f>
        <v>8597</v>
      </c>
      <c r="I199" s="18">
        <f>3352.5</f>
        <v>3352.5</v>
      </c>
      <c r="J199" s="18">
        <f>4107.55</f>
        <v>4107.55</v>
      </c>
      <c r="K199" s="18">
        <f>202.5+340</f>
        <v>542.5</v>
      </c>
      <c r="L199" s="19">
        <f>SUM(F199:K199)</f>
        <v>39356.33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61953+33450+1875+18814.88+625</f>
        <v>116717.88</v>
      </c>
      <c r="G201" s="18">
        <f>8182.71+488.04+45+167.28+4658.17+7000.76+75.56+167.19+19726.65+1292.13+45+90.35+2376.37+3779.9+75.55+90.14-616.65+18.79+1439.97+1524.62+75.56+51.17</f>
        <v>50754.26</v>
      </c>
      <c r="H201" s="18">
        <f>4503.42+3094.5+200.27+25812.09+5040+9637.25+59300+5261.13+68400+180+508</f>
        <v>181936.66</v>
      </c>
      <c r="I201" s="18">
        <f>624.2+295+902.74+89.95+738.72</f>
        <v>2650.61</v>
      </c>
      <c r="J201" s="18">
        <f>1451.21</f>
        <v>1451.21</v>
      </c>
      <c r="K201" s="18">
        <f>35+1461.6</f>
        <v>1496.6</v>
      </c>
      <c r="L201" s="19">
        <f t="shared" ref="L201:L207" si="0">SUM(F201:K201)</f>
        <v>355007.22000000003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4200+4916.65+46181.48</f>
        <v>55298.130000000005</v>
      </c>
      <c r="G202" s="18">
        <f>672.23+712.32+219+8182.71+488.04+45+123.96+3451.32+5218.61+75.55+121.97</f>
        <v>19310.71</v>
      </c>
      <c r="H202" s="18">
        <f>359+2739</f>
        <v>3098</v>
      </c>
      <c r="I202" s="18">
        <f>704.99+8094.26+1439.94+4142</f>
        <v>14381.19</v>
      </c>
      <c r="J202" s="18">
        <f>11531.73</f>
        <v>11531.73</v>
      </c>
      <c r="K202" s="18"/>
      <c r="L202" s="19">
        <f t="shared" si="0"/>
        <v>103619.76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1200+4200+1875</f>
        <v>7275</v>
      </c>
      <c r="G203" s="18">
        <f>556.51+22</f>
        <v>578.51</v>
      </c>
      <c r="H203" s="18">
        <f>311.75+16196.34+7538+139567</f>
        <v>163613.09</v>
      </c>
      <c r="I203" s="18">
        <f>2941.27+430.2</f>
        <v>3371.47</v>
      </c>
      <c r="J203" s="18"/>
      <c r="K203" s="18">
        <f>5886.47</f>
        <v>5886.47</v>
      </c>
      <c r="L203" s="19">
        <f t="shared" si="0"/>
        <v>180724.54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64808.6+85210.8+48644.84</f>
        <v>198664.24</v>
      </c>
      <c r="G204" s="18">
        <f>60140.4+4280.58+144+405+14209.64+3128.06+16952.27+6750+125+830+369+287.53+527.25</f>
        <v>108148.73</v>
      </c>
      <c r="H204" s="18">
        <f>2526.79+1960.2+5491.46+1157.24+1437.95+1210+1031.89</f>
        <v>14815.53</v>
      </c>
      <c r="I204" s="18">
        <f>220.68+389.66+463</f>
        <v>1073.3400000000001</v>
      </c>
      <c r="J204" s="18">
        <f>895.49</f>
        <v>895.49</v>
      </c>
      <c r="K204" s="18">
        <f>1565</f>
        <v>1565</v>
      </c>
      <c r="L204" s="19">
        <f t="shared" si="0"/>
        <v>325162.33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97632.24</f>
        <v>97632.24</v>
      </c>
      <c r="G206" s="18">
        <f>36867.9+2271.76+125.03+6397.6+7541.54+281.75+2010.93</f>
        <v>55496.51</v>
      </c>
      <c r="H206" s="18">
        <f>42374.49+2652+4887.76+5283.25+1348.75+10019.31+17188.92+21114.93+210+12937+390.21</f>
        <v>118406.62000000001</v>
      </c>
      <c r="I206" s="18">
        <f>13975.89+6211.51+41463.91+55200.38</f>
        <v>116851.69</v>
      </c>
      <c r="J206" s="18">
        <f>5030.03+1274.36</f>
        <v>6304.3899999999994</v>
      </c>
      <c r="K206" s="18"/>
      <c r="L206" s="19">
        <f t="shared" si="0"/>
        <v>394691.45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162687.18+5543.1+4801.8+146594.2</f>
        <v>319626.28000000003</v>
      </c>
      <c r="I207" s="18"/>
      <c r="J207" s="18"/>
      <c r="K207" s="18"/>
      <c r="L207" s="19">
        <f t="shared" si="0"/>
        <v>319626.28000000003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f>47863.5</f>
        <v>47863.5</v>
      </c>
      <c r="G208" s="18">
        <f>7719.36+488.04+45+129.23+3620.5+4212+75.56+126.47</f>
        <v>16416.16</v>
      </c>
      <c r="H208" s="18">
        <f>750+518.4+185.94</f>
        <v>1454.3400000000001</v>
      </c>
      <c r="I208" s="18">
        <f>3480.26+3504.5</f>
        <v>6984.76</v>
      </c>
      <c r="J208" s="18">
        <f>21701.95</f>
        <v>21701.95</v>
      </c>
      <c r="K208" s="18"/>
      <c r="L208" s="19">
        <f>SUM(F208:K208)</f>
        <v>94420.709999999992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2650464.5099999998</v>
      </c>
      <c r="G210" s="41">
        <f t="shared" si="1"/>
        <v>1040503.36</v>
      </c>
      <c r="H210" s="41">
        <f t="shared" si="1"/>
        <v>894925.56</v>
      </c>
      <c r="I210" s="41">
        <f t="shared" si="1"/>
        <v>306521.81</v>
      </c>
      <c r="J210" s="41">
        <f t="shared" si="1"/>
        <v>71100.929999999993</v>
      </c>
      <c r="K210" s="41">
        <f t="shared" si="1"/>
        <v>9490.57</v>
      </c>
      <c r="L210" s="41">
        <f t="shared" si="1"/>
        <v>4973006.74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f>22680+98+4085+22089.18</f>
        <v>48952.18</v>
      </c>
      <c r="I215" s="18"/>
      <c r="J215" s="18"/>
      <c r="K215" s="18"/>
      <c r="L215" s="19">
        <f>SUM(F215:K215)</f>
        <v>48952.18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48952.18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48952.18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1290945.57+30330.48</f>
        <v>1321276.05</v>
      </c>
      <c r="I232" s="18"/>
      <c r="J232" s="18"/>
      <c r="K232" s="18"/>
      <c r="L232" s="19">
        <f>SUM(F232:K232)</f>
        <v>1321276.05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f>594026.83+15087.11+362242.53+12308.57</f>
        <v>983665.03999999992</v>
      </c>
      <c r="I233" s="18"/>
      <c r="J233" s="18"/>
      <c r="K233" s="18"/>
      <c r="L233" s="19">
        <f>SUM(F233:K233)</f>
        <v>983665.03999999992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91383.39+73091.34</f>
        <v>164474.72999999998</v>
      </c>
      <c r="I243" s="18"/>
      <c r="J243" s="18"/>
      <c r="K243" s="18"/>
      <c r="L243" s="19">
        <f t="shared" si="4"/>
        <v>164474.72999999998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2469415.8199999998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2469415.8199999998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2650464.5099999998</v>
      </c>
      <c r="G256" s="41">
        <f t="shared" si="8"/>
        <v>1040503.36</v>
      </c>
      <c r="H256" s="41">
        <f t="shared" si="8"/>
        <v>3413293.56</v>
      </c>
      <c r="I256" s="41">
        <f t="shared" si="8"/>
        <v>306521.81</v>
      </c>
      <c r="J256" s="41">
        <f t="shared" si="8"/>
        <v>71100.929999999993</v>
      </c>
      <c r="K256" s="41">
        <f t="shared" si="8"/>
        <v>9490.57</v>
      </c>
      <c r="L256" s="41">
        <f t="shared" si="8"/>
        <v>7491374.7400000002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20000</v>
      </c>
      <c r="L265" s="19">
        <f t="shared" si="9"/>
        <v>20000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20000</v>
      </c>
      <c r="L269" s="41">
        <f t="shared" si="9"/>
        <v>20000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2650464.5099999998</v>
      </c>
      <c r="G270" s="42">
        <f t="shared" si="11"/>
        <v>1040503.36</v>
      </c>
      <c r="H270" s="42">
        <f t="shared" si="11"/>
        <v>3413293.56</v>
      </c>
      <c r="I270" s="42">
        <f t="shared" si="11"/>
        <v>306521.81</v>
      </c>
      <c r="J270" s="42">
        <f t="shared" si="11"/>
        <v>71100.929999999993</v>
      </c>
      <c r="K270" s="42">
        <f t="shared" si="11"/>
        <v>29490.57</v>
      </c>
      <c r="L270" s="42">
        <f t="shared" si="11"/>
        <v>7511374.7400000002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24519.32</f>
        <v>24519.32</v>
      </c>
      <c r="G275" s="18">
        <f>1871.81+2478.33</f>
        <v>4350.1399999999994</v>
      </c>
      <c r="H275" s="18"/>
      <c r="I275" s="18">
        <f>809.63</f>
        <v>809.63</v>
      </c>
      <c r="J275" s="18"/>
      <c r="K275" s="18"/>
      <c r="L275" s="19">
        <f>SUM(F275:K275)</f>
        <v>29679.09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48209.44</f>
        <v>48209.440000000002</v>
      </c>
      <c r="G276" s="18">
        <f>22.56+3688.05</f>
        <v>3710.61</v>
      </c>
      <c r="H276" s="18">
        <f>1309.59</f>
        <v>1309.5899999999999</v>
      </c>
      <c r="I276" s="18">
        <f>576.71+400+82.5+375+454.95</f>
        <v>1889.16</v>
      </c>
      <c r="J276" s="18">
        <f>1567.39+5853.39</f>
        <v>7420.7800000000007</v>
      </c>
      <c r="K276" s="18"/>
      <c r="L276" s="19">
        <f>SUM(F276:K276)</f>
        <v>62539.58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f>4345.4+1575+11988.5+11977.42+10926</f>
        <v>40812.32</v>
      </c>
      <c r="I280" s="18">
        <f>157.95</f>
        <v>157.94999999999999</v>
      </c>
      <c r="J280" s="18"/>
      <c r="K280" s="18"/>
      <c r="L280" s="19">
        <f t="shared" ref="L280:L286" si="12">SUM(F280:K280)</f>
        <v>40970.269999999997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2400+2027.5+3577.5+1250</f>
        <v>9255</v>
      </c>
      <c r="G281" s="18">
        <f>418.63+1058.52+93.18+122.77</f>
        <v>1693.1000000000001</v>
      </c>
      <c r="H281" s="18">
        <f>9486.67+950+4500+2000</f>
        <v>16936.669999999998</v>
      </c>
      <c r="I281" s="18">
        <f>2968.85+1429.62+397.37+1196.83+536.42</f>
        <v>6529.0899999999992</v>
      </c>
      <c r="J281" s="18"/>
      <c r="K281" s="18"/>
      <c r="L281" s="19">
        <f t="shared" si="12"/>
        <v>34413.859999999993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>
        <f>5105.31</f>
        <v>5105.3100000000004</v>
      </c>
      <c r="I282" s="18"/>
      <c r="J282" s="18"/>
      <c r="K282" s="18"/>
      <c r="L282" s="19">
        <f t="shared" si="12"/>
        <v>5105.3100000000004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f>30+180.23+471.12+1711.29+792.61</f>
        <v>3185.25</v>
      </c>
      <c r="L284" s="19">
        <f t="shared" si="12"/>
        <v>3185.25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>
        <f>15288.89+16962</f>
        <v>32250.89</v>
      </c>
      <c r="K287" s="18"/>
      <c r="L287" s="19">
        <f>SUM(F287:K287)</f>
        <v>32250.89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81983.760000000009</v>
      </c>
      <c r="G289" s="42">
        <f t="shared" si="13"/>
        <v>9753.85</v>
      </c>
      <c r="H289" s="42">
        <f t="shared" si="13"/>
        <v>64163.889999999992</v>
      </c>
      <c r="I289" s="42">
        <f t="shared" si="13"/>
        <v>9385.8299999999981</v>
      </c>
      <c r="J289" s="42">
        <f t="shared" si="13"/>
        <v>39671.67</v>
      </c>
      <c r="K289" s="42">
        <f t="shared" si="13"/>
        <v>3185.25</v>
      </c>
      <c r="L289" s="41">
        <f t="shared" si="13"/>
        <v>208144.25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81983.760000000009</v>
      </c>
      <c r="G337" s="41">
        <f t="shared" si="20"/>
        <v>9753.85</v>
      </c>
      <c r="H337" s="41">
        <f t="shared" si="20"/>
        <v>64163.889999999992</v>
      </c>
      <c r="I337" s="41">
        <f t="shared" si="20"/>
        <v>9385.8299999999981</v>
      </c>
      <c r="J337" s="41">
        <f t="shared" si="20"/>
        <v>39671.67</v>
      </c>
      <c r="K337" s="41">
        <f t="shared" si="20"/>
        <v>3185.25</v>
      </c>
      <c r="L337" s="41">
        <f t="shared" si="20"/>
        <v>208144.25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81983.760000000009</v>
      </c>
      <c r="G351" s="41">
        <f>G337</f>
        <v>9753.85</v>
      </c>
      <c r="H351" s="41">
        <f>H337</f>
        <v>64163.889999999992</v>
      </c>
      <c r="I351" s="41">
        <f>I337</f>
        <v>9385.8299999999981</v>
      </c>
      <c r="J351" s="41">
        <f>J337</f>
        <v>39671.67</v>
      </c>
      <c r="K351" s="47">
        <f>K337+K350</f>
        <v>3185.25</v>
      </c>
      <c r="L351" s="41">
        <f>L337+L350</f>
        <v>208144.25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49932.42</v>
      </c>
      <c r="G357" s="18">
        <v>26060.560000000001</v>
      </c>
      <c r="H357" s="18">
        <v>2359.81</v>
      </c>
      <c r="I357" s="18">
        <v>70238.45</v>
      </c>
      <c r="J357" s="18">
        <v>1222.3</v>
      </c>
      <c r="K357" s="18"/>
      <c r="L357" s="13">
        <f>SUM(F357:K357)</f>
        <v>149813.53999999998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49932.42</v>
      </c>
      <c r="G361" s="47">
        <f t="shared" si="22"/>
        <v>26060.560000000001</v>
      </c>
      <c r="H361" s="47">
        <f t="shared" si="22"/>
        <v>2359.81</v>
      </c>
      <c r="I361" s="47">
        <f t="shared" si="22"/>
        <v>70238.45</v>
      </c>
      <c r="J361" s="47">
        <f t="shared" si="22"/>
        <v>1222.3</v>
      </c>
      <c r="K361" s="47">
        <f t="shared" si="22"/>
        <v>0</v>
      </c>
      <c r="L361" s="47">
        <f t="shared" si="22"/>
        <v>149813.53999999998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57739.14</v>
      </c>
      <c r="G366" s="18"/>
      <c r="H366" s="18"/>
      <c r="I366" s="56">
        <f>SUM(F366:H366)</f>
        <v>57739.14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12499.31</v>
      </c>
      <c r="G367" s="63"/>
      <c r="H367" s="63"/>
      <c r="I367" s="56">
        <f>SUM(F367:H367)</f>
        <v>12499.31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70238.45</v>
      </c>
      <c r="G368" s="47">
        <f>SUM(G366:G367)</f>
        <v>0</v>
      </c>
      <c r="H368" s="47">
        <f>SUM(H366:H367)</f>
        <v>0</v>
      </c>
      <c r="I368" s="47">
        <f>SUM(I366:I367)</f>
        <v>70238.45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245.44</v>
      </c>
      <c r="I388" s="18"/>
      <c r="J388" s="24" t="s">
        <v>289</v>
      </c>
      <c r="K388" s="24" t="s">
        <v>289</v>
      </c>
      <c r="L388" s="56">
        <f t="shared" si="25"/>
        <v>245.44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245.44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245.44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20000</v>
      </c>
      <c r="H395" s="18">
        <v>43.34</v>
      </c>
      <c r="I395" s="18"/>
      <c r="J395" s="24" t="s">
        <v>289</v>
      </c>
      <c r="K395" s="24" t="s">
        <v>289</v>
      </c>
      <c r="L395" s="56">
        <f t="shared" si="26"/>
        <v>20043.34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84.31</v>
      </c>
      <c r="I396" s="18"/>
      <c r="J396" s="24" t="s">
        <v>289</v>
      </c>
      <c r="K396" s="24" t="s">
        <v>289</v>
      </c>
      <c r="L396" s="56">
        <f t="shared" si="26"/>
        <v>84.31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>
        <v>36.880000000000003</v>
      </c>
      <c r="I398" s="18"/>
      <c r="J398" s="24" t="s">
        <v>289</v>
      </c>
      <c r="K398" s="24" t="s">
        <v>289</v>
      </c>
      <c r="L398" s="56">
        <f t="shared" si="26"/>
        <v>36.880000000000003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12.29</v>
      </c>
      <c r="I399" s="18"/>
      <c r="J399" s="24" t="s">
        <v>289</v>
      </c>
      <c r="K399" s="24" t="s">
        <v>289</v>
      </c>
      <c r="L399" s="56">
        <f t="shared" si="26"/>
        <v>12.29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20000</v>
      </c>
      <c r="H400" s="47">
        <f>SUM(H394:H399)</f>
        <v>176.82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20176.820000000003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20000</v>
      </c>
      <c r="H407" s="47">
        <f>H392+H400+H406</f>
        <v>422.26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20422.260000000002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>
        <v>196882.95</v>
      </c>
      <c r="I414" s="18"/>
      <c r="J414" s="18"/>
      <c r="K414" s="18"/>
      <c r="L414" s="56">
        <f t="shared" si="27"/>
        <v>196882.95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196882.95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196882.95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>
        <v>5642.73</v>
      </c>
      <c r="I424" s="18">
        <v>1465.5</v>
      </c>
      <c r="J424" s="18">
        <f>32476.65+15090</f>
        <v>47566.65</v>
      </c>
      <c r="K424" s="18"/>
      <c r="L424" s="56">
        <f t="shared" si="29"/>
        <v>54674.880000000005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5642.73</v>
      </c>
      <c r="I426" s="47">
        <f t="shared" si="30"/>
        <v>1465.5</v>
      </c>
      <c r="J426" s="47">
        <f t="shared" si="30"/>
        <v>47566.65</v>
      </c>
      <c r="K426" s="47">
        <f t="shared" si="30"/>
        <v>0</v>
      </c>
      <c r="L426" s="47">
        <f t="shared" si="30"/>
        <v>54674.880000000005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202525.68000000002</v>
      </c>
      <c r="I433" s="47">
        <f t="shared" si="32"/>
        <v>1465.5</v>
      </c>
      <c r="J433" s="47">
        <f t="shared" si="32"/>
        <v>47566.65</v>
      </c>
      <c r="K433" s="47">
        <f t="shared" si="32"/>
        <v>0</v>
      </c>
      <c r="L433" s="47">
        <f t="shared" si="32"/>
        <v>251557.83000000002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332594.5</v>
      </c>
      <c r="G440" s="18">
        <v>234845.05</v>
      </c>
      <c r="H440" s="18"/>
      <c r="I440" s="56">
        <f t="shared" si="33"/>
        <v>567439.55000000005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332594.5</v>
      </c>
      <c r="G445" s="13">
        <f>SUM(G438:G444)</f>
        <v>234845.05</v>
      </c>
      <c r="H445" s="13">
        <f>SUM(H438:H444)</f>
        <v>0</v>
      </c>
      <c r="I445" s="13">
        <f>SUM(I438:I444)</f>
        <v>567439.55000000005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332594.5</v>
      </c>
      <c r="G458" s="18">
        <v>234845.05</v>
      </c>
      <c r="H458" s="18"/>
      <c r="I458" s="56">
        <f t="shared" si="34"/>
        <v>567439.55000000005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332594.5</v>
      </c>
      <c r="G459" s="83">
        <f>SUM(G453:G458)</f>
        <v>234845.05</v>
      </c>
      <c r="H459" s="83">
        <f>SUM(H453:H458)</f>
        <v>0</v>
      </c>
      <c r="I459" s="83">
        <f>SUM(I453:I458)</f>
        <v>567439.55000000005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332594.5</v>
      </c>
      <c r="G460" s="42">
        <f>G451+G459</f>
        <v>234845.05</v>
      </c>
      <c r="H460" s="42">
        <f>H451+H459</f>
        <v>0</v>
      </c>
      <c r="I460" s="42">
        <f>I451+I459</f>
        <v>567439.55000000005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215357.5</v>
      </c>
      <c r="G464" s="18">
        <v>13903.47</v>
      </c>
      <c r="H464" s="18"/>
      <c r="I464" s="18"/>
      <c r="J464" s="18">
        <v>798575.12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7792307.3099999996</v>
      </c>
      <c r="G467" s="18">
        <v>164476.69</v>
      </c>
      <c r="H467" s="18">
        <v>208144.25</v>
      </c>
      <c r="I467" s="18"/>
      <c r="J467" s="18">
        <v>20422.259999999998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7792307.3099999996</v>
      </c>
      <c r="G469" s="53">
        <f>SUM(G467:G468)</f>
        <v>164476.69</v>
      </c>
      <c r="H469" s="53">
        <f>SUM(H467:H468)</f>
        <v>208144.25</v>
      </c>
      <c r="I469" s="53">
        <f>SUM(I467:I468)</f>
        <v>0</v>
      </c>
      <c r="J469" s="53">
        <f>SUM(J467:J468)</f>
        <v>20422.259999999998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7511374.7400000002</v>
      </c>
      <c r="G471" s="18">
        <v>149813.54</v>
      </c>
      <c r="H471" s="18">
        <v>208144.25</v>
      </c>
      <c r="I471" s="18"/>
      <c r="J471" s="18">
        <v>251557.83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7511374.7400000002</v>
      </c>
      <c r="G473" s="53">
        <f>SUM(G471:G472)</f>
        <v>149813.54</v>
      </c>
      <c r="H473" s="53">
        <f>SUM(H471:H472)</f>
        <v>208144.25</v>
      </c>
      <c r="I473" s="53">
        <f>SUM(I471:I472)</f>
        <v>0</v>
      </c>
      <c r="J473" s="53">
        <f>SUM(J471:J472)</f>
        <v>251557.83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496290.06999999937</v>
      </c>
      <c r="G475" s="53">
        <f>(G464+G469)- G473</f>
        <v>28566.619999999995</v>
      </c>
      <c r="H475" s="53">
        <f>(H464+H469)- H473</f>
        <v>0</v>
      </c>
      <c r="I475" s="53">
        <f>(I464+I469)- I473</f>
        <v>0</v>
      </c>
      <c r="J475" s="53">
        <f>(J464+J469)- J473</f>
        <v>567439.55000000005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473211.5</v>
      </c>
      <c r="G520" s="18">
        <v>118628.77</v>
      </c>
      <c r="H520" s="18">
        <f>7234.75+50116.32+3780</f>
        <v>61131.07</v>
      </c>
      <c r="I520" s="18">
        <v>2766.77</v>
      </c>
      <c r="J520" s="18">
        <v>8020.77</v>
      </c>
      <c r="K520" s="18"/>
      <c r="L520" s="88">
        <f>SUM(F520:K520)</f>
        <v>663758.88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f>22680+98+4085</f>
        <v>26863</v>
      </c>
      <c r="I521" s="18"/>
      <c r="J521" s="18"/>
      <c r="K521" s="18"/>
      <c r="L521" s="88">
        <f>SUM(F521:K521)</f>
        <v>26863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f>594026.83+15087.11+362242.53+12308.57</f>
        <v>983665.03999999992</v>
      </c>
      <c r="I522" s="18"/>
      <c r="J522" s="18"/>
      <c r="K522" s="18"/>
      <c r="L522" s="88">
        <f>SUM(F522:K522)</f>
        <v>983665.03999999992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473211.5</v>
      </c>
      <c r="G523" s="108">
        <f t="shared" ref="G523:L523" si="36">SUM(G520:G522)</f>
        <v>118628.77</v>
      </c>
      <c r="H523" s="108">
        <f t="shared" si="36"/>
        <v>1071659.1099999999</v>
      </c>
      <c r="I523" s="108">
        <f t="shared" si="36"/>
        <v>2766.77</v>
      </c>
      <c r="J523" s="108">
        <f t="shared" si="36"/>
        <v>8020.77</v>
      </c>
      <c r="K523" s="108">
        <f t="shared" si="36"/>
        <v>0</v>
      </c>
      <c r="L523" s="89">
        <f t="shared" si="36"/>
        <v>1674286.92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224653.6</v>
      </c>
      <c r="I525" s="18">
        <v>992.69</v>
      </c>
      <c r="J525" s="18"/>
      <c r="K525" s="18"/>
      <c r="L525" s="88">
        <f>SUM(F525:K525)</f>
        <v>225646.29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22089.18</v>
      </c>
      <c r="I527" s="18"/>
      <c r="J527" s="18"/>
      <c r="K527" s="18"/>
      <c r="L527" s="88">
        <f>SUM(F527:K527)</f>
        <v>22089.18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246742.78</v>
      </c>
      <c r="I528" s="89">
        <f t="shared" si="37"/>
        <v>992.69</v>
      </c>
      <c r="J528" s="89">
        <f t="shared" si="37"/>
        <v>0</v>
      </c>
      <c r="K528" s="89">
        <f t="shared" si="37"/>
        <v>0</v>
      </c>
      <c r="L528" s="89">
        <f t="shared" si="37"/>
        <v>247735.47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100794.47</v>
      </c>
      <c r="G530" s="18">
        <f>43924.9+369</f>
        <v>44293.9</v>
      </c>
      <c r="H530" s="18">
        <f>396.19+3621.57</f>
        <v>4017.76</v>
      </c>
      <c r="I530" s="18"/>
      <c r="J530" s="18"/>
      <c r="K530" s="18"/>
      <c r="L530" s="88">
        <f>SUM(F530:K530)</f>
        <v>149106.13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100794.47</v>
      </c>
      <c r="G533" s="89">
        <f t="shared" ref="G533:L533" si="38">SUM(G530:G532)</f>
        <v>44293.9</v>
      </c>
      <c r="H533" s="89">
        <f t="shared" si="38"/>
        <v>4017.76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149106.13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146594.20000000001</v>
      </c>
      <c r="I540" s="18"/>
      <c r="J540" s="18"/>
      <c r="K540" s="18"/>
      <c r="L540" s="88">
        <f>SUM(F540:K540)</f>
        <v>146594.20000000001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91383.39</v>
      </c>
      <c r="I542" s="18"/>
      <c r="J542" s="18"/>
      <c r="K542" s="18"/>
      <c r="L542" s="88">
        <f>SUM(F542:K542)</f>
        <v>91383.39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237977.59000000003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237977.59000000003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574005.97</v>
      </c>
      <c r="G544" s="89">
        <f t="shared" ref="G544:L544" si="41">G523+G528+G533+G538+G543</f>
        <v>162922.67000000001</v>
      </c>
      <c r="H544" s="89">
        <f t="shared" si="41"/>
        <v>1560397.24</v>
      </c>
      <c r="I544" s="89">
        <f t="shared" si="41"/>
        <v>3759.46</v>
      </c>
      <c r="J544" s="89">
        <f t="shared" si="41"/>
        <v>8020.77</v>
      </c>
      <c r="K544" s="89">
        <f t="shared" si="41"/>
        <v>0</v>
      </c>
      <c r="L544" s="89">
        <f t="shared" si="41"/>
        <v>2309106.11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663758.88</v>
      </c>
      <c r="G548" s="87">
        <f>L525</f>
        <v>225646.29</v>
      </c>
      <c r="H548" s="87">
        <f>L530</f>
        <v>149106.13</v>
      </c>
      <c r="I548" s="87">
        <f>L535</f>
        <v>0</v>
      </c>
      <c r="J548" s="87">
        <f>L540</f>
        <v>146594.20000000001</v>
      </c>
      <c r="K548" s="87">
        <f>SUM(F548:J548)</f>
        <v>1185105.5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26863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26863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983665.03999999992</v>
      </c>
      <c r="G550" s="87">
        <f>L527</f>
        <v>22089.18</v>
      </c>
      <c r="H550" s="87">
        <f>L532</f>
        <v>0</v>
      </c>
      <c r="I550" s="87">
        <f>L537</f>
        <v>0</v>
      </c>
      <c r="J550" s="87">
        <f>L542</f>
        <v>91383.39</v>
      </c>
      <c r="K550" s="87">
        <f>SUM(F550:J550)</f>
        <v>1097137.6099999999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1674286.92</v>
      </c>
      <c r="G551" s="89">
        <f t="shared" si="42"/>
        <v>247735.47</v>
      </c>
      <c r="H551" s="89">
        <f t="shared" si="42"/>
        <v>149106.13</v>
      </c>
      <c r="I551" s="89">
        <f t="shared" si="42"/>
        <v>0</v>
      </c>
      <c r="J551" s="89">
        <f t="shared" si="42"/>
        <v>237977.59000000003</v>
      </c>
      <c r="K551" s="89">
        <f t="shared" si="42"/>
        <v>2309106.11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1290945.57</v>
      </c>
      <c r="I574" s="87">
        <f>SUM(F574:H574)</f>
        <v>1290945.57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30330.48</v>
      </c>
      <c r="I576" s="87">
        <f t="shared" si="47"/>
        <v>30330.48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594026.82999999996</v>
      </c>
      <c r="I578" s="87">
        <f t="shared" si="47"/>
        <v>594026.82999999996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15087.11</v>
      </c>
      <c r="I580" s="87">
        <f t="shared" si="47"/>
        <v>15087.11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50116.32</v>
      </c>
      <c r="G581" s="18">
        <v>22680</v>
      </c>
      <c r="H581" s="18">
        <v>362242.53</v>
      </c>
      <c r="I581" s="87">
        <f t="shared" si="47"/>
        <v>435038.85000000003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162687.18</v>
      </c>
      <c r="I590" s="18"/>
      <c r="J590" s="18">
        <v>73091.34</v>
      </c>
      <c r="K590" s="104">
        <f t="shared" ref="K590:K596" si="48">SUM(H590:J590)</f>
        <v>235778.52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146594.20000000001</v>
      </c>
      <c r="I591" s="18"/>
      <c r="J591" s="18">
        <v>91383.39</v>
      </c>
      <c r="K591" s="104">
        <f t="shared" si="48"/>
        <v>237977.59000000003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5543.1</v>
      </c>
      <c r="I593" s="18"/>
      <c r="J593" s="18"/>
      <c r="K593" s="104">
        <f t="shared" si="48"/>
        <v>5543.1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4801.8</v>
      </c>
      <c r="I594" s="18"/>
      <c r="J594" s="18"/>
      <c r="K594" s="104">
        <f t="shared" si="48"/>
        <v>4801.8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319626.27999999997</v>
      </c>
      <c r="I597" s="108">
        <f>SUM(I590:I596)</f>
        <v>0</v>
      </c>
      <c r="J597" s="108">
        <f>SUM(J590:J596)</f>
        <v>164474.72999999998</v>
      </c>
      <c r="K597" s="108">
        <f>SUM(K590:K596)</f>
        <v>484101.00999999995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110772.6</v>
      </c>
      <c r="I603" s="18"/>
      <c r="J603" s="18"/>
      <c r="K603" s="104">
        <f>SUM(H603:J603)</f>
        <v>110772.6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110772.6</v>
      </c>
      <c r="I604" s="108">
        <f>SUM(I601:I603)</f>
        <v>0</v>
      </c>
      <c r="J604" s="108">
        <f>SUM(J601:J603)</f>
        <v>0</v>
      </c>
      <c r="K604" s="108">
        <f>SUM(K601:K603)</f>
        <v>110772.6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3600+3480.5</f>
        <v>7080.5</v>
      </c>
      <c r="G610" s="18">
        <f>541.56+599.6</f>
        <v>1141.1599999999999</v>
      </c>
      <c r="H610" s="18">
        <f>9199.25+3780</f>
        <v>12979.25</v>
      </c>
      <c r="I610" s="18"/>
      <c r="J610" s="18"/>
      <c r="K610" s="18"/>
      <c r="L610" s="88">
        <f>SUM(F610:K610)</f>
        <v>21200.91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>
        <f>98+4085</f>
        <v>4183</v>
      </c>
      <c r="I611" s="18"/>
      <c r="J611" s="18"/>
      <c r="K611" s="18"/>
      <c r="L611" s="88">
        <f>SUM(F611:K611)</f>
        <v>4183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>
        <v>12308.57</v>
      </c>
      <c r="I612" s="18"/>
      <c r="J612" s="18"/>
      <c r="K612" s="18"/>
      <c r="L612" s="88">
        <f>SUM(F612:K612)</f>
        <v>12308.57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7080.5</v>
      </c>
      <c r="G613" s="108">
        <f t="shared" si="49"/>
        <v>1141.1599999999999</v>
      </c>
      <c r="H613" s="108">
        <f t="shared" si="49"/>
        <v>29470.82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37692.479999999996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704179.12</v>
      </c>
      <c r="H616" s="109">
        <f>SUM(F51)</f>
        <v>704179.12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31712.82</v>
      </c>
      <c r="H617" s="109">
        <f>SUM(G51)</f>
        <v>31712.82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64022.42</v>
      </c>
      <c r="H618" s="109">
        <f>SUM(H51)</f>
        <v>64022.42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17866</v>
      </c>
      <c r="H619" s="109">
        <f>SUM(I51)</f>
        <v>17866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567439.55000000005</v>
      </c>
      <c r="H620" s="109">
        <f>SUM(J51)</f>
        <v>567439.55000000005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496290.06999999995</v>
      </c>
      <c r="H621" s="109">
        <f>F475</f>
        <v>496290.06999999937</v>
      </c>
      <c r="I621" s="121" t="s">
        <v>101</v>
      </c>
      <c r="J621" s="109">
        <f t="shared" ref="J621:J654" si="50">G621-H621</f>
        <v>5.8207660913467407E-10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28566.62</v>
      </c>
      <c r="H622" s="109">
        <f>G475</f>
        <v>28566.619999999995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567439.55000000005</v>
      </c>
      <c r="H625" s="109">
        <f>J475</f>
        <v>567439.55000000005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7792307.3100000005</v>
      </c>
      <c r="H626" s="104">
        <f>SUM(F467)</f>
        <v>7792307.3099999996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164476.69</v>
      </c>
      <c r="H627" s="104">
        <f>SUM(G467)</f>
        <v>164476.69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208144.24999999997</v>
      </c>
      <c r="H628" s="104">
        <f>SUM(H467)</f>
        <v>208144.25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20422.259999999998</v>
      </c>
      <c r="H630" s="104">
        <f>SUM(J467)</f>
        <v>20422.259999999998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7511374.7400000002</v>
      </c>
      <c r="H631" s="104">
        <f>SUM(F471)</f>
        <v>7511374.7400000002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208144.25</v>
      </c>
      <c r="H632" s="104">
        <f>SUM(H471)</f>
        <v>208144.25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70238.45</v>
      </c>
      <c r="H633" s="104">
        <f>I368</f>
        <v>70238.45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149813.53999999998</v>
      </c>
      <c r="H634" s="104">
        <f>SUM(G471)</f>
        <v>149813.54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20422.260000000002</v>
      </c>
      <c r="H636" s="164">
        <f>SUM(J467)</f>
        <v>20422.259999999998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251557.83000000002</v>
      </c>
      <c r="H637" s="164">
        <f>SUM(J471)</f>
        <v>251557.83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332594.5</v>
      </c>
      <c r="H638" s="104">
        <f>SUM(F460)</f>
        <v>332594.5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234845.05</v>
      </c>
      <c r="H639" s="104">
        <f>SUM(G460)</f>
        <v>234845.05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567439.55000000005</v>
      </c>
      <c r="H641" s="104">
        <f>SUM(I460)</f>
        <v>567439.55000000005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422.26</v>
      </c>
      <c r="H643" s="104">
        <f>H407</f>
        <v>422.26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20000</v>
      </c>
      <c r="H644" s="104">
        <f>G407</f>
        <v>20000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20422.259999999998</v>
      </c>
      <c r="H645" s="104">
        <f>L407</f>
        <v>20422.260000000002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484101.00999999995</v>
      </c>
      <c r="H646" s="104">
        <f>L207+L225+L243</f>
        <v>484101.01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110772.6</v>
      </c>
      <c r="H647" s="104">
        <f>(J256+J337)-(J254+J335)</f>
        <v>110772.59999999999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319626.28000000003</v>
      </c>
      <c r="H648" s="104">
        <f>H597</f>
        <v>319626.27999999997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164474.72999999998</v>
      </c>
      <c r="H650" s="104">
        <f>J597</f>
        <v>164474.72999999998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20000</v>
      </c>
      <c r="H654" s="104">
        <f>K265+K346</f>
        <v>20000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5330964.53</v>
      </c>
      <c r="G659" s="19">
        <f>(L228+L308+L358)</f>
        <v>48952.18</v>
      </c>
      <c r="H659" s="19">
        <f>(L246+L327+L359)</f>
        <v>2469415.8199999998</v>
      </c>
      <c r="I659" s="19">
        <f>SUM(F659:H659)</f>
        <v>7849332.5299999993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109103.1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109103.1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319626.28000000003</v>
      </c>
      <c r="G661" s="19">
        <f>(L225+L305)-(J225+J305)</f>
        <v>0</v>
      </c>
      <c r="H661" s="19">
        <f>(L243+L324)-(J243+J324)</f>
        <v>164474.72999999998</v>
      </c>
      <c r="I661" s="19">
        <f>SUM(F661:H661)</f>
        <v>484101.01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182089.83000000002</v>
      </c>
      <c r="G662" s="199">
        <f>SUM(G574:G586)+SUM(I601:I603)+L611</f>
        <v>26863</v>
      </c>
      <c r="H662" s="199">
        <f>SUM(H574:H586)+SUM(J601:J603)+L612</f>
        <v>2304941.09</v>
      </c>
      <c r="I662" s="19">
        <f>SUM(F662:H662)</f>
        <v>2513893.92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4720145.32</v>
      </c>
      <c r="G663" s="19">
        <f>G659-SUM(G660:G662)</f>
        <v>22089.18</v>
      </c>
      <c r="H663" s="19">
        <f>H659-SUM(H660:H662)</f>
        <v>0</v>
      </c>
      <c r="I663" s="19">
        <f>I659-SUM(I660:I662)</f>
        <v>4742234.5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402.97</v>
      </c>
      <c r="G664" s="248"/>
      <c r="H664" s="248"/>
      <c r="I664" s="19">
        <f>SUM(F664:H664)</f>
        <v>402.97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11713.39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11768.21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>
        <v>-22089.18</v>
      </c>
      <c r="H668" s="18"/>
      <c r="I668" s="19">
        <f>SUM(F668:H668)</f>
        <v>-22089.18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11713.39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11713.39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Candia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1625326.1900000002</v>
      </c>
      <c r="C9" s="229">
        <f>'DOE25'!G196+'DOE25'!G214+'DOE25'!G232+'DOE25'!G275+'DOE25'!G294+'DOE25'!G313</f>
        <v>634523.24</v>
      </c>
    </row>
    <row r="10" spans="1:3" x14ac:dyDescent="0.2">
      <c r="A10" t="s">
        <v>779</v>
      </c>
      <c r="B10" s="240">
        <v>1512214.27</v>
      </c>
      <c r="C10" s="240">
        <v>625679.35</v>
      </c>
    </row>
    <row r="11" spans="1:3" x14ac:dyDescent="0.2">
      <c r="A11" t="s">
        <v>780</v>
      </c>
      <c r="B11" s="240">
        <v>31850.46</v>
      </c>
      <c r="C11" s="240">
        <v>2627.39</v>
      </c>
    </row>
    <row r="12" spans="1:3" x14ac:dyDescent="0.2">
      <c r="A12" t="s">
        <v>781</v>
      </c>
      <c r="B12" s="240">
        <v>81261.460000000006</v>
      </c>
      <c r="C12" s="240">
        <v>6216.5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1625326.19</v>
      </c>
      <c r="C13" s="231">
        <f>SUM(C10:C12)</f>
        <v>634523.24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554566.09000000008</v>
      </c>
      <c r="C18" s="229">
        <f>'DOE25'!G197+'DOE25'!G215+'DOE25'!G233+'DOE25'!G276+'DOE25'!G295+'DOE25'!G314</f>
        <v>160429.20999999996</v>
      </c>
    </row>
    <row r="19" spans="1:3" x14ac:dyDescent="0.2">
      <c r="A19" t="s">
        <v>779</v>
      </c>
      <c r="B19" s="240">
        <v>275643.21999999997</v>
      </c>
      <c r="C19" s="240">
        <v>105056.24</v>
      </c>
    </row>
    <row r="20" spans="1:3" x14ac:dyDescent="0.2">
      <c r="A20" t="s">
        <v>780</v>
      </c>
      <c r="B20" s="240">
        <v>170261.38</v>
      </c>
      <c r="C20" s="240">
        <v>19705.46</v>
      </c>
    </row>
    <row r="21" spans="1:3" x14ac:dyDescent="0.2">
      <c r="A21" t="s">
        <v>781</v>
      </c>
      <c r="B21" s="240">
        <v>108661.49</v>
      </c>
      <c r="C21" s="240">
        <v>35667.51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554566.09</v>
      </c>
      <c r="C22" s="231">
        <f>SUM(C19:C21)</f>
        <v>160429.21000000002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19850</v>
      </c>
      <c r="C36" s="235">
        <f>'DOE25'!G199+'DOE25'!G217+'DOE25'!G235+'DOE25'!G278+'DOE25'!G297+'DOE25'!G316</f>
        <v>2906.7799999999997</v>
      </c>
    </row>
    <row r="37" spans="1:3" x14ac:dyDescent="0.2">
      <c r="A37" t="s">
        <v>779</v>
      </c>
      <c r="B37" s="240">
        <v>12650</v>
      </c>
      <c r="C37" s="240">
        <v>2355.98</v>
      </c>
    </row>
    <row r="38" spans="1:3" x14ac:dyDescent="0.2">
      <c r="A38" t="s">
        <v>780</v>
      </c>
      <c r="B38" s="240">
        <v>1500</v>
      </c>
      <c r="C38" s="240">
        <v>114.75</v>
      </c>
    </row>
    <row r="39" spans="1:3" x14ac:dyDescent="0.2">
      <c r="A39" t="s">
        <v>781</v>
      </c>
      <c r="B39" s="240">
        <v>5700</v>
      </c>
      <c r="C39" s="240">
        <v>436.05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19850</v>
      </c>
      <c r="C40" s="231">
        <f>SUM(C37:C39)</f>
        <v>2906.78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F38" sqref="F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Candia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5553647.7200000007</v>
      </c>
      <c r="D5" s="20">
        <f>SUM('DOE25'!L196:L199)+SUM('DOE25'!L214:L217)+SUM('DOE25'!L232:L235)-F5-G5</f>
        <v>5523889.0600000005</v>
      </c>
      <c r="E5" s="243"/>
      <c r="F5" s="255">
        <f>SUM('DOE25'!J196:J199)+SUM('DOE25'!J214:J217)+SUM('DOE25'!J232:J235)</f>
        <v>29216.16</v>
      </c>
      <c r="G5" s="53">
        <f>SUM('DOE25'!K196:K199)+SUM('DOE25'!K214:K217)+SUM('DOE25'!K232:K235)</f>
        <v>542.5</v>
      </c>
      <c r="H5" s="259"/>
    </row>
    <row r="6" spans="1:9" x14ac:dyDescent="0.2">
      <c r="A6" s="32">
        <v>2100</v>
      </c>
      <c r="B6" t="s">
        <v>801</v>
      </c>
      <c r="C6" s="245">
        <f t="shared" si="0"/>
        <v>355007.22000000003</v>
      </c>
      <c r="D6" s="20">
        <f>'DOE25'!L201+'DOE25'!L219+'DOE25'!L237-F6-G6</f>
        <v>352059.41000000003</v>
      </c>
      <c r="E6" s="243"/>
      <c r="F6" s="255">
        <f>'DOE25'!J201+'DOE25'!J219+'DOE25'!J237</f>
        <v>1451.21</v>
      </c>
      <c r="G6" s="53">
        <f>'DOE25'!K201+'DOE25'!K219+'DOE25'!K237</f>
        <v>1496.6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103619.76</v>
      </c>
      <c r="D7" s="20">
        <f>'DOE25'!L202+'DOE25'!L220+'DOE25'!L238-F7-G7</f>
        <v>92088.03</v>
      </c>
      <c r="E7" s="243"/>
      <c r="F7" s="255">
        <f>'DOE25'!J202+'DOE25'!J220+'DOE25'!J238</f>
        <v>11531.73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112099.09</v>
      </c>
      <c r="D8" s="243"/>
      <c r="E8" s="20">
        <f>'DOE25'!L203+'DOE25'!L221+'DOE25'!L239-F8-G8-D9-D11</f>
        <v>106212.62</v>
      </c>
      <c r="F8" s="255">
        <f>'DOE25'!J203+'DOE25'!J221+'DOE25'!J239</f>
        <v>0</v>
      </c>
      <c r="G8" s="53">
        <f>'DOE25'!K203+'DOE25'!K221+'DOE25'!K239</f>
        <v>5886.47</v>
      </c>
      <c r="H8" s="259"/>
    </row>
    <row r="9" spans="1:9" x14ac:dyDescent="0.2">
      <c r="A9" s="32">
        <v>2310</v>
      </c>
      <c r="B9" t="s">
        <v>818</v>
      </c>
      <c r="C9" s="245">
        <f t="shared" si="0"/>
        <v>41157.54</v>
      </c>
      <c r="D9" s="244">
        <v>41157.54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7538</v>
      </c>
      <c r="D10" s="243"/>
      <c r="E10" s="244">
        <v>7538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27467.91</v>
      </c>
      <c r="D11" s="244">
        <v>27467.91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325162.33</v>
      </c>
      <c r="D12" s="20">
        <f>'DOE25'!L204+'DOE25'!L222+'DOE25'!L240-F12-G12</f>
        <v>322701.84000000003</v>
      </c>
      <c r="E12" s="243"/>
      <c r="F12" s="255">
        <f>'DOE25'!J204+'DOE25'!J222+'DOE25'!J240</f>
        <v>895.49</v>
      </c>
      <c r="G12" s="53">
        <f>'DOE25'!K204+'DOE25'!K222+'DOE25'!K240</f>
        <v>1565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394691.45</v>
      </c>
      <c r="D14" s="20">
        <f>'DOE25'!L206+'DOE25'!L224+'DOE25'!L242-F14-G14</f>
        <v>388387.06</v>
      </c>
      <c r="E14" s="243"/>
      <c r="F14" s="255">
        <f>'DOE25'!J206+'DOE25'!J224+'DOE25'!J242</f>
        <v>6304.3899999999994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484101.01</v>
      </c>
      <c r="D15" s="20">
        <f>'DOE25'!L207+'DOE25'!L225+'DOE25'!L243-F15-G15</f>
        <v>484101.01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94420.709999999992</v>
      </c>
      <c r="D16" s="243"/>
      <c r="E16" s="20">
        <f>'DOE25'!L208+'DOE25'!L226+'DOE25'!L244-F16-G16</f>
        <v>72718.759999999995</v>
      </c>
      <c r="F16" s="255">
        <f>'DOE25'!J208+'DOE25'!J226+'DOE25'!J244</f>
        <v>21701.95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92074.39999999998</v>
      </c>
      <c r="D29" s="20">
        <f>'DOE25'!L357+'DOE25'!L358+'DOE25'!L359-'DOE25'!I366-F29-G29</f>
        <v>90852.099999999977</v>
      </c>
      <c r="E29" s="243"/>
      <c r="F29" s="255">
        <f>'DOE25'!J357+'DOE25'!J358+'DOE25'!J359</f>
        <v>1222.3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208144.25</v>
      </c>
      <c r="D31" s="20">
        <f>'DOE25'!L289+'DOE25'!L308+'DOE25'!L327+'DOE25'!L332+'DOE25'!L333+'DOE25'!L334-F31-G31</f>
        <v>165287.33000000002</v>
      </c>
      <c r="E31" s="243"/>
      <c r="F31" s="255">
        <f>'DOE25'!J289+'DOE25'!J308+'DOE25'!J327+'DOE25'!J332+'DOE25'!J333+'DOE25'!J334</f>
        <v>39671.67</v>
      </c>
      <c r="G31" s="53">
        <f>'DOE25'!K289+'DOE25'!K308+'DOE25'!K327+'DOE25'!K332+'DOE25'!K333+'DOE25'!K334</f>
        <v>3185.25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7487991.29</v>
      </c>
      <c r="E33" s="246">
        <f>SUM(E5:E31)</f>
        <v>186469.38</v>
      </c>
      <c r="F33" s="246">
        <f>SUM(F5:F31)</f>
        <v>111994.9</v>
      </c>
      <c r="G33" s="246">
        <f>SUM(G5:G31)</f>
        <v>12675.82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186469.38</v>
      </c>
      <c r="E35" s="249"/>
    </row>
    <row r="36" spans="2:8" ht="12" thickTop="1" x14ac:dyDescent="0.2">
      <c r="B36" t="s">
        <v>815</v>
      </c>
      <c r="D36" s="20">
        <f>D33</f>
        <v>7487991.29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Candia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616920.07999999996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78600.03</v>
      </c>
      <c r="D11" s="95">
        <f>'DOE25'!G12</f>
        <v>21431.13</v>
      </c>
      <c r="E11" s="95">
        <f>'DOE25'!H12</f>
        <v>0</v>
      </c>
      <c r="F11" s="95">
        <f>'DOE25'!I12</f>
        <v>0</v>
      </c>
      <c r="G11" s="95">
        <f>'DOE25'!J12</f>
        <v>567439.55000000005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7827.5</v>
      </c>
      <c r="D12" s="95">
        <f>'DOE25'!G13</f>
        <v>10281.69</v>
      </c>
      <c r="E12" s="95">
        <f>'DOE25'!H13</f>
        <v>64022.42</v>
      </c>
      <c r="F12" s="95">
        <f>'DOE25'!I13</f>
        <v>17866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831.51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704179.12</v>
      </c>
      <c r="D18" s="41">
        <f>SUM(D8:D17)</f>
        <v>31712.82</v>
      </c>
      <c r="E18" s="41">
        <f>SUM(E8:E17)</f>
        <v>64022.42</v>
      </c>
      <c r="F18" s="41">
        <f>SUM(F8:F17)</f>
        <v>17866</v>
      </c>
      <c r="G18" s="41">
        <f>SUM(G8:G17)</f>
        <v>567439.55000000005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21431.13</v>
      </c>
      <c r="D21" s="95">
        <f>'DOE25'!G22</f>
        <v>0</v>
      </c>
      <c r="E21" s="95">
        <f>'DOE25'!H22</f>
        <v>60734.03</v>
      </c>
      <c r="F21" s="95">
        <f>'DOE25'!I22</f>
        <v>17866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177434.69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9023.23</v>
      </c>
      <c r="D27" s="95">
        <f>'DOE25'!G28</f>
        <v>43.93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3102.27</v>
      </c>
      <c r="E29" s="95">
        <f>'DOE25'!H30</f>
        <v>3288.39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207889.05000000002</v>
      </c>
      <c r="D31" s="41">
        <f>SUM(D21:D30)</f>
        <v>3146.2</v>
      </c>
      <c r="E31" s="41">
        <f>SUM(E21:E30)</f>
        <v>64022.42</v>
      </c>
      <c r="F31" s="41">
        <f>SUM(F21:F30)</f>
        <v>17866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62500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28566.62</v>
      </c>
      <c r="E46" s="95">
        <f>'DOE25'!H47</f>
        <v>0</v>
      </c>
      <c r="F46" s="95">
        <f>'DOE25'!I47</f>
        <v>0</v>
      </c>
      <c r="G46" s="95">
        <f>'DOE25'!J47</f>
        <v>567439.55000000005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110456.4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323333.67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496290.06999999995</v>
      </c>
      <c r="D49" s="41">
        <f>SUM(D34:D48)</f>
        <v>28566.62</v>
      </c>
      <c r="E49" s="41">
        <f>SUM(E34:E48)</f>
        <v>0</v>
      </c>
      <c r="F49" s="41">
        <f>SUM(F34:F48)</f>
        <v>0</v>
      </c>
      <c r="G49" s="41">
        <f>SUM(G34:G48)</f>
        <v>567439.55000000005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704179.12</v>
      </c>
      <c r="D50" s="41">
        <f>D49+D31</f>
        <v>31712.82</v>
      </c>
      <c r="E50" s="41">
        <f>E49+E31</f>
        <v>64022.42</v>
      </c>
      <c r="F50" s="41">
        <f>F49+F31</f>
        <v>17866</v>
      </c>
      <c r="G50" s="41">
        <f>G49+G31</f>
        <v>567439.55000000005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5397285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11447.5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233.71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422.26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109103.1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56655.5</v>
      </c>
      <c r="D60" s="95">
        <f>SUM('DOE25'!G97:G109)</f>
        <v>0</v>
      </c>
      <c r="E60" s="95">
        <f>SUM('DOE25'!H97:H109)</f>
        <v>576.71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68336.709999999992</v>
      </c>
      <c r="D61" s="130">
        <f>SUM(D56:D60)</f>
        <v>109103.1</v>
      </c>
      <c r="E61" s="130">
        <f>SUM(E56:E60)</f>
        <v>576.71</v>
      </c>
      <c r="F61" s="130">
        <f>SUM(F56:F60)</f>
        <v>0</v>
      </c>
      <c r="G61" s="130">
        <f>SUM(G56:G60)</f>
        <v>422.26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5465621.71</v>
      </c>
      <c r="D62" s="22">
        <f>D55+D61</f>
        <v>109103.1</v>
      </c>
      <c r="E62" s="22">
        <f>E55+E61</f>
        <v>576.71</v>
      </c>
      <c r="F62" s="22">
        <f>F55+F61</f>
        <v>0</v>
      </c>
      <c r="G62" s="22">
        <f>G55+G61</f>
        <v>422.26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1368798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878332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2247130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48417.52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1870.31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48417.52</v>
      </c>
      <c r="D77" s="130">
        <f>SUM(D71:D76)</f>
        <v>1870.31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2295547.52</v>
      </c>
      <c r="D80" s="130">
        <f>SUM(D78:D79)+D77+D69</f>
        <v>1870.31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31138.080000000002</v>
      </c>
      <c r="D87" s="95">
        <f>SUM('DOE25'!G152:G160)</f>
        <v>53503.28</v>
      </c>
      <c r="E87" s="95">
        <f>SUM('DOE25'!H152:H160)</f>
        <v>207567.53999999998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31138.080000000002</v>
      </c>
      <c r="D90" s="131">
        <f>SUM(D84:D89)</f>
        <v>53503.28</v>
      </c>
      <c r="E90" s="131">
        <f>SUM(E84:E89)</f>
        <v>207567.53999999998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20000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20000</v>
      </c>
    </row>
    <row r="103" spans="1:7" ht="12.75" thickTop="1" thickBot="1" x14ac:dyDescent="0.25">
      <c r="A103" s="33" t="s">
        <v>765</v>
      </c>
      <c r="C103" s="86">
        <f>C62+C80+C90+C102</f>
        <v>7792307.3100000005</v>
      </c>
      <c r="D103" s="86">
        <f>D62+D80+D90+D102</f>
        <v>164476.69</v>
      </c>
      <c r="E103" s="86">
        <f>E62+E80+E90+E102</f>
        <v>208144.24999999997</v>
      </c>
      <c r="F103" s="86">
        <f>F62+F80+F90+F102</f>
        <v>0</v>
      </c>
      <c r="G103" s="86">
        <f>G62+G80+G102</f>
        <v>20422.259999999998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3741438.38</v>
      </c>
      <c r="D108" s="24" t="s">
        <v>289</v>
      </c>
      <c r="E108" s="95">
        <f>('DOE25'!L275)+('DOE25'!L294)+('DOE25'!L313)</f>
        <v>29679.09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1772853.01</v>
      </c>
      <c r="D109" s="24" t="s">
        <v>289</v>
      </c>
      <c r="E109" s="95">
        <f>('DOE25'!L276)+('DOE25'!L295)+('DOE25'!L314)</f>
        <v>62539.58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39356.33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5553647.7199999997</v>
      </c>
      <c r="D114" s="86">
        <f>SUM(D108:D113)</f>
        <v>0</v>
      </c>
      <c r="E114" s="86">
        <f>SUM(E108:E113)</f>
        <v>92218.67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355007.22000000003</v>
      </c>
      <c r="D117" s="24" t="s">
        <v>289</v>
      </c>
      <c r="E117" s="95">
        <f>+('DOE25'!L280)+('DOE25'!L299)+('DOE25'!L318)</f>
        <v>40970.269999999997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103619.76</v>
      </c>
      <c r="D118" s="24" t="s">
        <v>289</v>
      </c>
      <c r="E118" s="95">
        <f>+('DOE25'!L281)+('DOE25'!L300)+('DOE25'!L319)</f>
        <v>34413.859999999993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180724.54</v>
      </c>
      <c r="D119" s="24" t="s">
        <v>289</v>
      </c>
      <c r="E119" s="95">
        <f>+('DOE25'!L282)+('DOE25'!L301)+('DOE25'!L320)</f>
        <v>5105.3100000000004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325162.33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3185.25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394691.45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484101.01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94420.709999999992</v>
      </c>
      <c r="D124" s="24" t="s">
        <v>289</v>
      </c>
      <c r="E124" s="95">
        <f>+('DOE25'!L287)+('DOE25'!L306)+('DOE25'!L325)</f>
        <v>32250.89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149813.53999999998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1937727.02</v>
      </c>
      <c r="D127" s="86">
        <f>SUM(D117:D126)</f>
        <v>149813.53999999998</v>
      </c>
      <c r="E127" s="86">
        <f>SUM(E117:E126)</f>
        <v>115925.57999999999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245.44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20176.820000000003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-422.26000000000204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20000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7511374.7400000002</v>
      </c>
      <c r="D144" s="86">
        <f>(D114+D127+D143)</f>
        <v>149813.53999999998</v>
      </c>
      <c r="E144" s="86">
        <f>(E114+E127+E143)</f>
        <v>208144.25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Candia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11713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11713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3771117</v>
      </c>
      <c r="D10" s="182">
        <f>ROUND((C10/$C$28)*100,1)</f>
        <v>48.7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1835393</v>
      </c>
      <c r="D11" s="182">
        <f>ROUND((C11/$C$28)*100,1)</f>
        <v>23.7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39356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395977</v>
      </c>
      <c r="D15" s="182">
        <f t="shared" ref="D15:D27" si="0">ROUND((C15/$C$28)*100,1)</f>
        <v>5.0999999999999996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138034</v>
      </c>
      <c r="D16" s="182">
        <f t="shared" si="0"/>
        <v>1.8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312501</v>
      </c>
      <c r="D17" s="182">
        <f t="shared" si="0"/>
        <v>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325162</v>
      </c>
      <c r="D18" s="182">
        <f t="shared" si="0"/>
        <v>4.2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3185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394691</v>
      </c>
      <c r="D20" s="182">
        <f t="shared" si="0"/>
        <v>5.0999999999999996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484101</v>
      </c>
      <c r="D21" s="182">
        <f t="shared" si="0"/>
        <v>6.3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40710.899999999994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7740227.9000000004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7740227.9000000004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5397285</v>
      </c>
      <c r="D35" s="182">
        <f t="shared" ref="D35:D40" si="1">ROUND((C35/$C$41)*100,1)</f>
        <v>67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69335.679999999702</v>
      </c>
      <c r="D36" s="182">
        <f t="shared" si="1"/>
        <v>0.9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2247130</v>
      </c>
      <c r="D37" s="182">
        <f t="shared" si="1"/>
        <v>27.9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50288</v>
      </c>
      <c r="D38" s="182">
        <f t="shared" si="1"/>
        <v>0.6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292209</v>
      </c>
      <c r="D39" s="182">
        <f t="shared" si="1"/>
        <v>3.6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8056247.6799999997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Candia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2013-09-09T21:04:27Z</cp:lastPrinted>
  <dcterms:created xsi:type="dcterms:W3CDTF">1997-12-04T19:04:30Z</dcterms:created>
  <dcterms:modified xsi:type="dcterms:W3CDTF">2013-09-26T13:39:50Z</dcterms:modified>
</cp:coreProperties>
</file>