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96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C119" i="2" s="1"/>
  <c r="L239" i="1"/>
  <c r="D39" i="13"/>
  <c r="F13" i="13"/>
  <c r="G13" i="13"/>
  <c r="L205" i="1"/>
  <c r="L223" i="1"/>
  <c r="C121" i="2" s="1"/>
  <c r="L241" i="1"/>
  <c r="F16" i="13"/>
  <c r="G16" i="13"/>
  <c r="L208" i="1"/>
  <c r="C17" i="10" s="1"/>
  <c r="L226" i="1"/>
  <c r="L244" i="1"/>
  <c r="F5" i="13"/>
  <c r="G5" i="13"/>
  <c r="L196" i="1"/>
  <c r="L197" i="1"/>
  <c r="C109" i="2" s="1"/>
  <c r="L198" i="1"/>
  <c r="L199" i="1"/>
  <c r="C111" i="2" s="1"/>
  <c r="L214" i="1"/>
  <c r="L215" i="1"/>
  <c r="L216" i="1"/>
  <c r="L217" i="1"/>
  <c r="L232" i="1"/>
  <c r="L233" i="1"/>
  <c r="L246" i="1" s="1"/>
  <c r="L234" i="1"/>
  <c r="L235" i="1"/>
  <c r="F6" i="13"/>
  <c r="G6" i="13"/>
  <c r="L201" i="1"/>
  <c r="L219" i="1"/>
  <c r="C15" i="10" s="1"/>
  <c r="L237" i="1"/>
  <c r="F7" i="13"/>
  <c r="G7" i="13"/>
  <c r="L202" i="1"/>
  <c r="C118" i="2" s="1"/>
  <c r="L220" i="1"/>
  <c r="L238" i="1"/>
  <c r="F12" i="13"/>
  <c r="G12" i="13"/>
  <c r="L204" i="1"/>
  <c r="L222" i="1"/>
  <c r="C120" i="2" s="1"/>
  <c r="L240" i="1"/>
  <c r="F14" i="13"/>
  <c r="G14" i="13"/>
  <c r="L206" i="1"/>
  <c r="C122" i="2" s="1"/>
  <c r="L224" i="1"/>
  <c r="L242" i="1"/>
  <c r="F15" i="13"/>
  <c r="G15" i="13"/>
  <c r="L207" i="1"/>
  <c r="L225" i="1"/>
  <c r="C21" i="10" s="1"/>
  <c r="L243" i="1"/>
  <c r="F17" i="13"/>
  <c r="G17" i="13"/>
  <c r="L250" i="1"/>
  <c r="C113" i="2" s="1"/>
  <c r="F18" i="13"/>
  <c r="G18" i="13"/>
  <c r="L251" i="1"/>
  <c r="F19" i="13"/>
  <c r="G19" i="13"/>
  <c r="L252" i="1"/>
  <c r="F29" i="13"/>
  <c r="G29" i="13"/>
  <c r="L357" i="1"/>
  <c r="L358" i="1"/>
  <c r="G660" i="1" s="1"/>
  <c r="I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C57" i="2" s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D84" i="2" s="1"/>
  <c r="G161" i="1"/>
  <c r="H146" i="1"/>
  <c r="H161" i="1"/>
  <c r="I146" i="1"/>
  <c r="F84" i="2" s="1"/>
  <c r="I161" i="1"/>
  <c r="C11" i="10"/>
  <c r="C12" i="10"/>
  <c r="C13" i="10"/>
  <c r="C16" i="10"/>
  <c r="C19" i="10"/>
  <c r="L249" i="1"/>
  <c r="C112" i="2" s="1"/>
  <c r="L331" i="1"/>
  <c r="L253" i="1"/>
  <c r="C25" i="10"/>
  <c r="L267" i="1"/>
  <c r="C26" i="10" s="1"/>
  <c r="L268" i="1"/>
  <c r="L348" i="1"/>
  <c r="E141" i="2" s="1"/>
  <c r="L349" i="1"/>
  <c r="I664" i="1"/>
  <c r="I669" i="1"/>
  <c r="L210" i="1"/>
  <c r="F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50" i="1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C131" i="2"/>
  <c r="C130" i="2"/>
  <c r="A1" i="2"/>
  <c r="A2" i="2"/>
  <c r="C8" i="2"/>
  <c r="D8" i="2"/>
  <c r="D18" i="2" s="1"/>
  <c r="E8" i="2"/>
  <c r="F8" i="2"/>
  <c r="F18" i="2" s="1"/>
  <c r="I438" i="1"/>
  <c r="J9" i="1" s="1"/>
  <c r="G8" i="2" s="1"/>
  <c r="C9" i="2"/>
  <c r="C18" i="2" s="1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E31" i="2" s="1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E57" i="2"/>
  <c r="C58" i="2"/>
  <c r="D58" i="2"/>
  <c r="D61" i="2" s="1"/>
  <c r="D62" i="2" s="1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E102" i="2" s="1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E109" i="2"/>
  <c r="C110" i="2"/>
  <c r="E110" i="2"/>
  <c r="E111" i="2"/>
  <c r="E112" i="2"/>
  <c r="E113" i="2"/>
  <c r="D114" i="2"/>
  <c r="F114" i="2"/>
  <c r="G114" i="2"/>
  <c r="E117" i="2"/>
  <c r="E118" i="2"/>
  <c r="E119" i="2"/>
  <c r="E120" i="2"/>
  <c r="E121" i="2"/>
  <c r="E122" i="2"/>
  <c r="E123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H191" i="1" s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J639" i="1" s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F475" i="1" s="1"/>
  <c r="H621" i="1" s="1"/>
  <c r="G473" i="1"/>
  <c r="H473" i="1"/>
  <c r="I473" i="1"/>
  <c r="J473" i="1"/>
  <c r="J475" i="1" s="1"/>
  <c r="H625" i="1" s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K570" i="1" s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4" i="1" s="1"/>
  <c r="G647" i="1" s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40" i="1"/>
  <c r="J640" i="1" s="1"/>
  <c r="H640" i="1"/>
  <c r="G641" i="1"/>
  <c r="G642" i="1"/>
  <c r="G643" i="1"/>
  <c r="J643" i="1" s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J654" i="1" s="1"/>
  <c r="L255" i="1"/>
  <c r="I256" i="1"/>
  <c r="I270" i="1" s="1"/>
  <c r="F31" i="2"/>
  <c r="L327" i="1"/>
  <c r="H659" i="1" s="1"/>
  <c r="H663" i="1" s="1"/>
  <c r="I661" i="1"/>
  <c r="L289" i="1"/>
  <c r="A31" i="12"/>
  <c r="A40" i="12"/>
  <c r="D12" i="13"/>
  <c r="C12" i="13" s="1"/>
  <c r="G161" i="2"/>
  <c r="E49" i="2"/>
  <c r="D18" i="13"/>
  <c r="C18" i="13" s="1"/>
  <c r="D15" i="13"/>
  <c r="C15" i="13" s="1"/>
  <c r="D7" i="13"/>
  <c r="C7" i="13" s="1"/>
  <c r="F102" i="2"/>
  <c r="E18" i="2"/>
  <c r="D17" i="13"/>
  <c r="C17" i="13" s="1"/>
  <c r="D6" i="13"/>
  <c r="C6" i="13" s="1"/>
  <c r="E8" i="13"/>
  <c r="C8" i="13" s="1"/>
  <c r="G158" i="2"/>
  <c r="G80" i="2"/>
  <c r="F61" i="2"/>
  <c r="F62" i="2" s="1"/>
  <c r="D49" i="2"/>
  <c r="F49" i="2"/>
  <c r="F50" i="2" s="1"/>
  <c r="G162" i="2"/>
  <c r="G157" i="2"/>
  <c r="E143" i="2"/>
  <c r="G102" i="2"/>
  <c r="C102" i="2"/>
  <c r="F90" i="2"/>
  <c r="C61" i="2"/>
  <c r="C62" i="2" s="1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J256" i="1"/>
  <c r="J270" i="1" s="1"/>
  <c r="H111" i="1"/>
  <c r="F111" i="1"/>
  <c r="J638" i="1"/>
  <c r="J570" i="1"/>
  <c r="L432" i="1"/>
  <c r="D80" i="2"/>
  <c r="I168" i="1"/>
  <c r="H168" i="1"/>
  <c r="G551" i="1"/>
  <c r="E50" i="2"/>
  <c r="J642" i="1"/>
  <c r="H475" i="1"/>
  <c r="H623" i="1" s="1"/>
  <c r="I475" i="1"/>
  <c r="H624" i="1" s="1"/>
  <c r="J624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J551" i="1"/>
  <c r="H551" i="1"/>
  <c r="C29" i="10"/>
  <c r="H139" i="1"/>
  <c r="L400" i="1"/>
  <c r="C138" i="2" s="1"/>
  <c r="L392" i="1"/>
  <c r="C137" i="2" s="1"/>
  <c r="A13" i="12"/>
  <c r="F22" i="13"/>
  <c r="C22" i="13" s="1"/>
  <c r="H25" i="13"/>
  <c r="C25" i="13" s="1"/>
  <c r="J650" i="1"/>
  <c r="J633" i="1"/>
  <c r="L559" i="1"/>
  <c r="H337" i="1"/>
  <c r="H351" i="1" s="1"/>
  <c r="G191" i="1"/>
  <c r="E127" i="2"/>
  <c r="F551" i="1"/>
  <c r="C35" i="10"/>
  <c r="L308" i="1"/>
  <c r="D5" i="13"/>
  <c r="C5" i="13" s="1"/>
  <c r="E16" i="13"/>
  <c r="C49" i="2"/>
  <c r="J644" i="1"/>
  <c r="I570" i="1"/>
  <c r="G36" i="2"/>
  <c r="L564" i="1"/>
  <c r="K550" i="1"/>
  <c r="K551" i="1" s="1"/>
  <c r="C16" i="13"/>
  <c r="H33" i="13"/>
  <c r="C50" i="2" l="1"/>
  <c r="H570" i="1"/>
  <c r="K544" i="1"/>
  <c r="I544" i="1"/>
  <c r="G544" i="1"/>
  <c r="J544" i="1"/>
  <c r="H544" i="1"/>
  <c r="K256" i="1"/>
  <c r="K270" i="1" s="1"/>
  <c r="G256" i="1"/>
  <c r="G270" i="1" s="1"/>
  <c r="F191" i="1"/>
  <c r="H51" i="1"/>
  <c r="H618" i="1" s="1"/>
  <c r="G623" i="1"/>
  <c r="J623" i="1" s="1"/>
  <c r="F51" i="1"/>
  <c r="H616" i="1" s="1"/>
  <c r="G621" i="1"/>
  <c r="J616" i="1"/>
  <c r="C163" i="2"/>
  <c r="G163" i="2" s="1"/>
  <c r="K502" i="1"/>
  <c r="G160" i="2"/>
  <c r="G159" i="2"/>
  <c r="G156" i="2"/>
  <c r="G155" i="2"/>
  <c r="E61" i="2"/>
  <c r="E62" i="2" s="1"/>
  <c r="J621" i="1"/>
  <c r="L426" i="1"/>
  <c r="L418" i="1"/>
  <c r="F337" i="1"/>
  <c r="F351" i="1" s="1"/>
  <c r="E114" i="2"/>
  <c r="E144" i="2" s="1"/>
  <c r="C90" i="2"/>
  <c r="C77" i="2"/>
  <c r="F77" i="2"/>
  <c r="F80" i="2" s="1"/>
  <c r="C69" i="2"/>
  <c r="D90" i="2"/>
  <c r="C114" i="2"/>
  <c r="F659" i="1"/>
  <c r="F663" i="1" s="1"/>
  <c r="L538" i="1"/>
  <c r="L528" i="1"/>
  <c r="L544" i="1" s="1"/>
  <c r="L381" i="1"/>
  <c r="G635" i="1" s="1"/>
  <c r="J635" i="1" s="1"/>
  <c r="K337" i="1"/>
  <c r="K351" i="1" s="1"/>
  <c r="L336" i="1"/>
  <c r="F256" i="1"/>
  <c r="F270" i="1" s="1"/>
  <c r="D126" i="2"/>
  <c r="D127" i="2" s="1"/>
  <c r="D144" i="2" s="1"/>
  <c r="C124" i="2"/>
  <c r="C123" i="2"/>
  <c r="C117" i="2"/>
  <c r="C23" i="10"/>
  <c r="L361" i="1"/>
  <c r="L228" i="1"/>
  <c r="L256" i="1" s="1"/>
  <c r="L270" i="1" s="1"/>
  <c r="G631" i="1" s="1"/>
  <c r="J631" i="1" s="1"/>
  <c r="C20" i="10"/>
  <c r="E33" i="13"/>
  <c r="D35" i="13" s="1"/>
  <c r="G475" i="1"/>
  <c r="H622" i="1" s="1"/>
  <c r="J622" i="1" s="1"/>
  <c r="J648" i="1"/>
  <c r="D31" i="2"/>
  <c r="C18" i="10"/>
  <c r="C10" i="10"/>
  <c r="C127" i="2"/>
  <c r="F671" i="1"/>
  <c r="C4" i="10" s="1"/>
  <c r="F666" i="1"/>
  <c r="L337" i="1"/>
  <c r="L351" i="1" s="1"/>
  <c r="G632" i="1" s="1"/>
  <c r="J632" i="1" s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J641" i="1"/>
  <c r="G570" i="1"/>
  <c r="I433" i="1"/>
  <c r="G433" i="1"/>
  <c r="E103" i="2"/>
  <c r="I662" i="1"/>
  <c r="C27" i="10"/>
  <c r="C28" i="10" s="1"/>
  <c r="G634" i="1"/>
  <c r="J634" i="1" s="1"/>
  <c r="C80" i="2" l="1"/>
  <c r="C103" i="2" s="1"/>
  <c r="H645" i="1"/>
  <c r="J645" i="1" s="1"/>
  <c r="G666" i="1"/>
  <c r="C144" i="2"/>
  <c r="I659" i="1"/>
  <c r="G630" i="1"/>
  <c r="J630" i="1" s="1"/>
  <c r="I663" i="1"/>
  <c r="I671" i="1" s="1"/>
  <c r="C7" i="10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<sst xmlns="http://schemas.openxmlformats.org/spreadsheetml/2006/main" count="3948" uniqueCount="914">
  <si>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</si>
  <si>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</si>
  <si>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</si>
  <si>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</si>
  <si>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</si>
  <si>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</si>
  <si>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</si>
  <si>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</si>
  <si>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</si>
  <si>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</si>
  <si>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</si>
  <si>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</si>
  <si>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</si>
  <si>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</si>
  <si>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</si>
  <si>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</si>
  <si>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</si>
  <si>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</si>
  <si>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</si>
  <si>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</si>
  <si>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</si>
  <si>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</si>
  <si>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</si>
  <si>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</si>
  <si>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</si>
  <si>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</si>
  <si>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</si>
  <si>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</si>
  <si>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</si>
  <si>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</si>
  <si>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</si>
  <si>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</si>
  <si>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</si>
  <si>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</si>
  <si>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</si>
  <si>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</si>
  <si>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</si>
  <si>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</si>
  <si>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</si>
  <si>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</si>
  <si>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</si>
  <si>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</si>
  <si>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</si>
  <si>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</si>
  <si>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</si>
  <si>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</si>
  <si>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</si>
  <si>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</si>
  <si>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</si>
  <si>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</si>
  <si>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</si>
  <si>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</si>
  <si>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</si>
  <si>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</si>
  <si>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</si>
  <si>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</si>
  <si>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</si>
  <si>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</si>
  <si>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</si>
  <si>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</si>
  <si>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</si>
  <si>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</si>
  <si>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</si>
  <si>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</si>
  <si>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</si>
  <si>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</si>
  <si>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</si>
  <si>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</si>
  <si>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</si>
  <si>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</si>
  <si>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</si>
  <si>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</si>
  <si>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</si>
  <si>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</si>
  <si>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</si>
  <si>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</si>
  <si>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</si>
  <si>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</si>
  <si>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</si>
  <si>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</si>
  <si>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</si>
  <si>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</si>
  <si>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</si>
  <si>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</si>
  <si>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</si>
  <si>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</si>
  <si>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</si>
  <si>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</si>
  <si>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</si>
  <si>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</si>
  <si>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</si>
  <si>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</si>
  <si>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</si>
  <si>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</si>
  <si>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</si>
  <si>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</si>
  <si>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</si>
  <si>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</si>
  <si>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</si>
  <si>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</si>
  <si>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</si>
  <si>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</si>
  <si>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</si>
  <si>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</si>
  <si>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</si>
  <si>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</si>
  <si>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</si>
  <si>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</si>
  <si>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</si>
  <si>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</si>
  <si>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</si>
  <si>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</si>
  <si>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</si>
  <si>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</si>
  <si>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</si>
  <si>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</si>
  <si>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</si>
  <si>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</si>
  <si>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</si>
  <si>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</si>
  <si>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</si>
  <si>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</si>
  <si>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</si>
  <si>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</si>
  <si>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</si>
  <si>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</si>
  <si>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</si>
  <si>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</si>
  <si>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</si>
  <si>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</si>
  <si>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</si>
  <si>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</si>
  <si>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</si>
  <si>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</si>
  <si>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</si>
  <si>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</si>
  <si>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</si>
  <si>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</si>
  <si>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</si>
  <si>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</si>
  <si>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</si>
  <si>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</si>
  <si>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</si>
  <si>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</si>
  <si>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</si>
  <si>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</si>
  <si>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</si>
  <si>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</si>
  <si>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</si>
  <si>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</si>
  <si>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</si>
  <si>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</si>
  <si>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</si>
  <si>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</si>
  <si>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</si>
  <si>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</si>
  <si>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</si>
  <si>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</si>
  <si>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</si>
  <si>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</si>
  <si>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</si>
  <si>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</si>
  <si>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</si>
  <si>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</si>
  <si>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</si>
  <si>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</si>
  <si>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</si>
  <si>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</si>
  <si>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</si>
  <si>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</si>
  <si>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</si>
  <si>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</si>
  <si>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</si>
  <si>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</si>
  <si>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</si>
  <si>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</si>
  <si>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</si>
  <si>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</si>
  <si>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</si>
  <si>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</si>
  <si>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</si>
  <si>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</si>
  <si>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</si>
  <si>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</si>
  <si>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</si>
  <si>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</si>
  <si>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</si>
  <si>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</si>
  <si>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</si>
  <si>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</si>
  <si>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</si>
  <si>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</si>
  <si>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</si>
  <si>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</si>
  <si>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</si>
  <si>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</si>
  <si>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</si>
  <si>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</si>
  <si>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</si>
  <si>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</si>
  <si>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</si>
  <si>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</si>
  <si>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</si>
  <si>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</si>
  <si>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</si>
  <si>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</si>
  <si>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</si>
  <si>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</si>
  <si>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</si>
  <si>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</si>
  <si>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</si>
  <si>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</si>
  <si>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</si>
  <si>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</si>
  <si>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</si>
  <si>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</si>
  <si>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</si>
  <si>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</si>
  <si>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</si>
  <si>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</si>
  <si>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</si>
  <si>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</si>
  <si>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</si>
  <si>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</si>
  <si>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</si>
  <si>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</si>
  <si>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</si>
  <si>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</si>
  <si>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</si>
  <si>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</si>
  <si>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</si>
  <si>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</si>
  <si>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</si>
  <si>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</si>
  <si>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</si>
  <si>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</si>
  <si>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</si>
  <si>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</si>
  <si>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</si>
  <si>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</si>
  <si>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</si>
  <si>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</si>
  <si>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</si>
  <si>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</si>
  <si>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</si>
  <si>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</si>
  <si>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</si>
  <si>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</si>
  <si>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</si>
  <si>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</si>
  <si>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</si>
  <si>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</si>
  <si>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</si>
  <si>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</si>
  <si>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</si>
  <si>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</si>
  <si>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</si>
  <si>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</si>
  <si>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</si>
  <si>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</si>
  <si>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</si>
  <si>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</si>
  <si>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</si>
  <si>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</si>
  <si>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</si>
  <si>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</si>
  <si>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</si>
  <si>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</si>
  <si>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</si>
  <si>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</si>
  <si>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</si>
  <si>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</si>
  <si>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</si>
  <si>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</si>
  <si>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</si>
  <si>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</si>
  <si>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</si>
  <si>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</si>
  <si>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</si>
  <si>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</si>
  <si>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</si>
  <si>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</si>
  <si>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</si>
  <si>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</si>
  <si>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</si>
  <si>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</si>
  <si>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</si>
  <si>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</si>
  <si>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</si>
  <si>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</si>
  <si>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</si>
  <si>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</si>
  <si>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</si>
  <si>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</si>
  <si>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</si>
  <si>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</si>
  <si>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</si>
  <si>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</si>
  <si>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</si>
  <si>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</si>
  <si>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</si>
  <si>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</si>
  <si>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</si>
  <si>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</si>
  <si>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</si>
  <si>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</si>
  <si>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</si>
  <si>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</si>
  <si>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</si>
  <si>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</si>
  <si>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</si>
  <si>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</si>
  <si>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</si>
  <si>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</si>
  <si>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</si>
  <si>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</si>
  <si>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</si>
  <si>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</si>
  <si>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</si>
  <si>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</si>
  <si>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</si>
  <si>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</si>
  <si>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</si>
  <si>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</si>
  <si>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</si>
  <si>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</si>
  <si>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</si>
  <si>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</si>
  <si>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</si>
  <si>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</si>
  <si>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</si>
  <si>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</si>
  <si>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</si>
  <si>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</si>
  <si>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</si>
  <si>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</si>
  <si>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</si>
  <si>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</si>
  <si>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</si>
  <si>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</si>
  <si>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</si>
  <si>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</si>
  <si>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</si>
  <si>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</si>
  <si>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</si>
  <si>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</si>
  <si>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</si>
  <si>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</si>
  <si>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</si>
  <si>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</si>
  <si>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</si>
  <si>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</si>
  <si>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</si>
  <si>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</si>
  <si>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</si>
  <si>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</si>
  <si>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</si>
  <si>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</si>
  <si>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</si>
  <si>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</si>
  <si>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</si>
  <si>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</si>
  <si>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</si>
  <si>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</si>
  <si>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</si>
  <si>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</si>
  <si>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</si>
  <si>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</si>
  <si>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</si>
  <si>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</si>
  <si>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</si>
  <si>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</si>
  <si>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</si>
  <si>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</si>
  <si>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</si>
  <si>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</si>
  <si>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</si>
  <si>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</si>
  <si>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</si>
  <si>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</si>
  <si>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</si>
  <si>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</si>
  <si>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</si>
  <si>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</si>
  <si>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</si>
  <si>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</si>
  <si>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</si>
  <si>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</si>
  <si>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</si>
  <si>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</si>
  <si>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</si>
  <si>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</si>
  <si>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</si>
  <si>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</si>
  <si>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</si>
  <si>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</si>
  <si>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</si>
  <si>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</si>
  <si>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</si>
  <si>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</si>
  <si>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</si>
  <si>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</si>
  <si>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</si>
  <si>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</si>
  <si>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</si>
  <si>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</si>
  <si>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</si>
  <si>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</si>
  <si>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</si>
  <si>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</si>
  <si>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</si>
  <si>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</si>
  <si>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</si>
  <si>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</si>
  <si>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</si>
  <si>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</si>
  <si>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</si>
  <si>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</si>
  <si>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</si>
  <si>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</si>
  <si>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</si>
  <si>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</si>
  <si>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</si>
  <si>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</si>
  <si>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</si>
  <si>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</si>
  <si>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</si>
  <si>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</si>
  <si>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</si>
  <si>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</si>
  <si>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</si>
  <si>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</si>
  <si>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</si>
  <si>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</si>
  <si>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</si>
  <si>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</si>
  <si>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</si>
  <si>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</si>
  <si>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</si>
  <si>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</si>
  <si>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</si>
  <si>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</si>
  <si>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</si>
  <si>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</si>
  <si>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</si>
  <si>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</si>
  <si>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</si>
  <si>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</si>
  <si>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</si>
  <si>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</si>
  <si>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</si>
  <si>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</si>
  <si>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</si>
  <si>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</si>
  <si>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</si>
  <si>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</si>
  <si>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</si>
  <si>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</si>
  <si>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</si>
  <si>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</si>
  <si>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</si>
  <si>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</si>
  <si>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</si>
  <si>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</si>
  <si>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</si>
  <si>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</si>
  <si>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</si>
  <si>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</si>
  <si>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</si>
  <si>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</si>
  <si>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</si>
  <si>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</si>
  <si>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</si>
  <si>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</si>
  <si>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</si>
  <si>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</si>
  <si>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</si>
  <si>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</si>
  <si>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</si>
  <si>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</si>
  <si>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</si>
  <si>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</si>
  <si>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</si>
  <si>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</si>
  <si>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</si>
  <si>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</si>
  <si>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</si>
  <si>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</si>
  <si>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</si>
  <si>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</si>
  <si>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</si>
  <si>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</si>
  <si>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</si>
  <si>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</si>
  <si>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</si>
  <si>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</si>
  <si>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</si>
  <si>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</si>
  <si>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</si>
  <si>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</si>
  <si>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</si>
  <si>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</si>
  <si>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</si>
  <si>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</si>
  <si>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</si>
  <si>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</si>
  <si>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</si>
  <si>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</si>
  <si>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</si>
  <si>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</si>
  <si>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</si>
  <si>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</si>
  <si>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</si>
  <si>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</si>
  <si>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</si>
  <si>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</si>
  <si>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</si>
  <si>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</si>
  <si>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</si>
  <si>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</si>
  <si>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</si>
  <si>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</si>
  <si>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</si>
  <si>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</si>
  <si>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</si>
  <si>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</si>
  <si>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</si>
  <si>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</si>
  <si>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</si>
  <si>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</si>
  <si>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</si>
  <si>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</si>
  <si>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</si>
  <si>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</si>
  <si>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</si>
  <si>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</si>
  <si>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</si>
  <si>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</si>
  <si>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</si>
  <si>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</si>
  <si>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</si>
  <si>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</si>
  <si>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</si>
  <si>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</si>
  <si>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</si>
  <si>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</si>
  <si>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</si>
  <si>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</si>
  <si>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</si>
  <si>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</si>
  <si>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</si>
  <si>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</si>
  <si>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</si>
  <si>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</si>
  <si>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</si>
  <si>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</si>
  <si>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</si>
  <si>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</si>
  <si>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</si>
  <si>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</si>
  <si>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</si>
  <si>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</si>
  <si>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</si>
  <si>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</si>
  <si>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</si>
  <si>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</si>
  <si>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</si>
  <si>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</si>
  <si>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</si>
  <si>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</si>
  <si>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</si>
  <si>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</si>
  <si>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</si>
  <si>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</si>
  <si>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</si>
  <si>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</si>
  <si>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</si>
  <si>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</si>
  <si>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</si>
  <si>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</si>
  <si>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</si>
  <si>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</si>
  <si>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</si>
  <si>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</si>
  <si>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</si>
  <si>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</si>
  <si>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</si>
  <si>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</si>
  <si>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</si>
  <si>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</si>
  <si>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</si>
  <si>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</si>
  <si>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</si>
  <si>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</si>
  <si>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</si>
  <si>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</si>
  <si>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</si>
  <si>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</si>
  <si>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</si>
  <si>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</si>
  <si>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</si>
  <si>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</si>
  <si>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</si>
  <si>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</si>
  <si>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</si>
  <si>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</si>
  <si>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</si>
  <si>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</si>
  <si>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</si>
  <si>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</si>
  <si>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</si>
  <si>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</si>
  <si>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</si>
  <si>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</si>
  <si>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</si>
  <si>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</si>
  <si>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</si>
  <si>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</si>
  <si>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</si>
  <si>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</si>
  <si>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</si>
  <si>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</si>
  <si>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</si>
  <si>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</si>
  <si>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</si>
  <si>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</si>
  <si>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</si>
  <si>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</si>
  <si>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</si>
  <si>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</si>
  <si>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</si>
  <si>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</si>
  <si>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</si>
  <si>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</si>
  <si>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</si>
  <si>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</si>
  <si>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</si>
  <si>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</si>
  <si>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</si>
  <si>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</si>
  <si>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</si>
  <si>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</si>
  <si>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</si>
  <si>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</si>
  <si>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</si>
  <si>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</si>
  <si>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</si>
  <si>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</si>
  <si>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</si>
  <si>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</si>
  <si>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</si>
  <si>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</si>
  <si>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</si>
  <si>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</si>
  <si>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</si>
  <si>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</si>
  <si>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</si>
  <si>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</si>
  <si>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</si>
  <si>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</si>
  <si>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</si>
  <si>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</si>
  <si>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</si>
  <si>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</si>
  <si>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</si>
  <si>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</si>
  <si>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</si>
  <si>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</si>
  <si>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</si>
  <si>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</si>
  <si>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</si>
  <si>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</si>
  <si>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</si>
  <si>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</si>
  <si>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</si>
  <si>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</si>
  <si>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</si>
  <si>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</si>
  <si>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</si>
  <si>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</si>
  <si>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</si>
  <si>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</si>
  <si>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</si>
  <si>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</si>
  <si>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</si>
  <si>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</si>
  <si>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</si>
  <si>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</si>
  <si>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</si>
  <si>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</si>
  <si>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</si>
  <si>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</si>
  <si>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</si>
  <si>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</si>
  <si>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</si>
  <si>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</si>
  <si>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</si>
  <si>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</si>
  <si>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</si>
  <si>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</si>
  <si>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</si>
  <si>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</si>
  <si>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</si>
  <si>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</si>
  <si>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</si>
  <si>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</si>
  <si>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</si>
  <si>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</si>
  <si>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</si>
  <si>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</si>
  <si>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</si>
  <si>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</si>
  <si>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</si>
  <si>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</si>
  <si>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</si>
  <si>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</si>
  <si>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</si>
  <si>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</si>
  <si>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</si>
  <si>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</si>
  <si>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</si>
  <si>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</si>
  <si>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</si>
  <si>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</si>
  <si>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</si>
  <si>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</si>
  <si>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</si>
  <si>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</si>
  <si>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</si>
  <si>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</si>
  <si>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</si>
  <si>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</si>
  <si>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</si>
  <si>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</si>
  <si>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</si>
  <si>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</si>
  <si>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</si>
  <si>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</si>
  <si>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</si>
  <si>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</si>
  <si>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</si>
  <si>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</si>
  <si>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</si>
  <si>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</si>
  <si>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</si>
  <si>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</si>
  <si>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</si>
  <si>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</si>
  <si>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</si>
  <si>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</si>
  <si>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</si>
  <si>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</si>
  <si>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</si>
  <si>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</si>
  <si>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</si>
  <si>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</si>
  <si>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</si>
  <si>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</si>
  <si>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</si>
  <si>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</si>
  <si>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</si>
  <si>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</si>
  <si>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</si>
  <si>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</si>
  <si>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</si>
  <si>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</si>
  <si>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</si>
  <si>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</si>
  <si>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</si>
  <si>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</si>
  <si>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</si>
  <si>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</si>
  <si>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</si>
  <si>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</si>
  <si>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</si>
  <si>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</si>
  <si>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</si>
  <si>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</si>
  <si>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</si>
  <si>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</si>
  <si>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</si>
  <si>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</si>
  <si>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</si>
  <si>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</si>
  <si>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</si>
  <si>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</si>
  <si>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</si>
  <si>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</si>
  <si>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</si>
  <si>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</si>
  <si>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</si>
  <si>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</si>
  <si>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</si>
  <si>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</si>
  <si>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</si>
  <si>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</si>
  <si>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</si>
  <si>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</si>
  <si>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</si>
  <si>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</si>
  <si>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</si>
  <si>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</si>
  <si>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</si>
  <si>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</si>
  <si>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</si>
  <si>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</si>
  <si>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</si>
  <si>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</si>
  <si>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</si>
  <si>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</si>
  <si>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</si>
  <si>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</si>
  <si>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</si>
  <si>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</si>
  <si>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</si>
  <si>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</si>
  <si>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</si>
  <si>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</si>
  <si>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</si>
  <si>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</si>
  <si>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</si>
  <si>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</si>
  <si>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</si>
  <si>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</si>
  <si>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</si>
  <si>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</si>
  <si>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</si>
  <si>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</si>
  <si>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</si>
  <si>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</si>
  <si>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</si>
  <si>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</si>
  <si>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</si>
  <si>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</si>
  <si>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</si>
  <si>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</si>
  <si>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</si>
  <si>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</si>
  <si>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</si>
  <si>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</si>
  <si>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</si>
  <si>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</si>
  <si>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</si>
  <si>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</si>
  <si>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</si>
  <si>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</si>
  <si>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</si>
  <si>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</si>
  <si>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</si>
  <si>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</si>
  <si>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</si>
  <si>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</si>
  <si>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</si>
  <si>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</si>
  <si>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</si>
  <si>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</si>
  <si>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</si>
  <si>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</si>
  <si>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</si>
  <si>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</si>
  <si>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</si>
  <si>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</si>
  <si>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</si>
  <si>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</si>
  <si>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</si>
  <si>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</si>
  <si>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</si>
  <si>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</si>
  <si>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</si>
  <si>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</si>
  <si>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</si>
  <si>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</si>
  <si>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</si>
  <si>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</si>
  <si>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</si>
  <si>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</si>
  <si>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</si>
  <si>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</si>
  <si>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</si>
  <si>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</si>
  <si>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</si>
  <si>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</si>
  <si>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</si>
  <si>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</si>
  <si>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</si>
  <si>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</si>
  <si>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</si>
  <si>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</si>
  <si>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</si>
  <si>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</si>
  <si>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</si>
  <si>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</si>
  <si>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</si>
  <si>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</si>
  <si>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</si>
  <si>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</si>
  <si>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</si>
  <si>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</si>
  <si>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</si>
  <si>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</si>
  <si>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</si>
  <si>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</si>
  <si>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</si>
  <si>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</si>
  <si>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</si>
  <si>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</si>
  <si>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</si>
  <si>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</si>
  <si>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</si>
  <si>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July/02</t>
  </si>
  <si>
    <t>July/12</t>
  </si>
  <si>
    <t>January/12</t>
  </si>
  <si>
    <t>July/18</t>
  </si>
  <si>
    <t>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</si>
</sst>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4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93</v>
      </c>
      <c r="C2" s="21">
        <v>93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387434.33</v>
      </c>
      <c r="G9" s="18">
        <v>7716.15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55000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65978.48</v>
      </c>
      <c r="G12" s="18">
        <v>6697.57</v>
      </c>
      <c r="H12" s="18">
        <v>18602.29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3380.12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475.59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453888.4</v>
      </c>
      <c r="G19" s="41">
        <f>SUM(G9:G18)</f>
        <v>17793.84</v>
      </c>
      <c r="H19" s="41">
        <f>SUM(H9:H18)</f>
        <v>18602.29</v>
      </c>
      <c r="I19" s="41">
        <f>SUM(I9:I18)</f>
        <v>0</v>
      </c>
      <c r="J19" s="41">
        <f>SUM(J9:J18)</f>
        <v>55000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17793.84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3380.12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46445.45</v>
      </c>
      <c r="G24" s="18"/>
      <c r="H24" s="18">
        <v>18602.29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5071.21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51516.659999999996</v>
      </c>
      <c r="G32" s="41">
        <f>SUM(G22:G31)</f>
        <v>21173.96</v>
      </c>
      <c r="H32" s="41">
        <f>SUM(H22:H31)</f>
        <v>18602.29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175912.21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-3380.12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25000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55000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201459.53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402371.74</v>
      </c>
      <c r="G50" s="41">
        <f>SUM(G35:G49)</f>
        <v>-3380.12</v>
      </c>
      <c r="H50" s="41">
        <f>SUM(H35:H49)</f>
        <v>0</v>
      </c>
      <c r="I50" s="41">
        <f>SUM(I35:I49)</f>
        <v>0</v>
      </c>
      <c r="J50" s="41">
        <f>SUM(J35:J49)</f>
        <v>55000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453888.39999999997</v>
      </c>
      <c r="G51" s="41">
        <f>G50+G32</f>
        <v>17793.84</v>
      </c>
      <c r="H51" s="41">
        <f>H50+H32</f>
        <v>18602.29</v>
      </c>
      <c r="I51" s="41">
        <f>I50+I32</f>
        <v>0</v>
      </c>
      <c r="J51" s="41">
        <f>J50+J32</f>
        <v>55000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6657544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6657544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11970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11970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280.89999999999998</v>
      </c>
      <c r="G95" s="18">
        <v>12.46</v>
      </c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126821.74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3096.08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7673.3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11050.28</v>
      </c>
      <c r="G110" s="41">
        <f>SUM(G95:G109)</f>
        <v>126834.20000000001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6680564.2800000003</v>
      </c>
      <c r="G111" s="41">
        <f>G59+G110</f>
        <v>126834.20000000001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3025945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1137763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4163708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144781.46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62100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61535.67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2196.4699999999998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268417.13</v>
      </c>
      <c r="G135" s="41">
        <f>SUM(G122:G134)</f>
        <v>2196.4699999999998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4432125.13</v>
      </c>
      <c r="G139" s="41">
        <f>G120+SUM(G135:G136)</f>
        <v>2196.4699999999998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43540.77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33966.699999999997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41975.68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162094.82999999999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53335.45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53335.45</v>
      </c>
      <c r="G161" s="41">
        <f>SUM(G149:G160)</f>
        <v>41975.68</v>
      </c>
      <c r="H161" s="41">
        <f>SUM(H149:H160)</f>
        <v>239602.3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2546.96</v>
      </c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53335.45</v>
      </c>
      <c r="G168" s="41">
        <f>G146+G161+SUM(G162:G167)</f>
        <v>41975.68</v>
      </c>
      <c r="H168" s="41">
        <f>H146+H161+SUM(H162:H167)</f>
        <v>242149.25999999998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3380.12</v>
      </c>
      <c r="H178" s="18"/>
      <c r="I178" s="18"/>
      <c r="J178" s="18">
        <v>55000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3380.12</v>
      </c>
      <c r="H182" s="41">
        <f>SUM(H178:H181)</f>
        <v>0</v>
      </c>
      <c r="I182" s="41">
        <f>SUM(I178:I181)</f>
        <v>0</v>
      </c>
      <c r="J182" s="41">
        <f>SUM(J178:J181)</f>
        <v>55000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3380.12</v>
      </c>
      <c r="H191" s="41">
        <f>+H182+SUM(H187:H190)</f>
        <v>0</v>
      </c>
      <c r="I191" s="41">
        <f>I176+I182+SUM(I187:I190)</f>
        <v>0</v>
      </c>
      <c r="J191" s="41">
        <f>J182</f>
        <v>55000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11166024.859999999</v>
      </c>
      <c r="G192" s="47">
        <f>G111+G139+G168+G191</f>
        <v>174386.47</v>
      </c>
      <c r="H192" s="47">
        <f>H111+H139+H168+H191</f>
        <v>242149.25999999998</v>
      </c>
      <c r="I192" s="47">
        <f>I111+I139+I168+I191</f>
        <v>0</v>
      </c>
      <c r="J192" s="47">
        <f>J111+J139+J191</f>
        <v>55000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1776305.74</v>
      </c>
      <c r="G196" s="18">
        <v>797654.23</v>
      </c>
      <c r="H196" s="18">
        <v>223</v>
      </c>
      <c r="I196" s="18">
        <v>81227.570000000007</v>
      </c>
      <c r="J196" s="18">
        <v>30368.99</v>
      </c>
      <c r="K196" s="18"/>
      <c r="L196" s="19">
        <f>SUM(F196:K196)</f>
        <v>2685779.53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663567.09</v>
      </c>
      <c r="G197" s="18">
        <v>163600.69</v>
      </c>
      <c r="H197" s="18">
        <v>25219.85</v>
      </c>
      <c r="I197" s="18">
        <v>4171.0600000000004</v>
      </c>
      <c r="J197" s="18">
        <v>13066.96</v>
      </c>
      <c r="K197" s="18"/>
      <c r="L197" s="19">
        <f>SUM(F197:K197)</f>
        <v>869625.65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39686.71</v>
      </c>
      <c r="G199" s="18">
        <v>2981.55</v>
      </c>
      <c r="H199" s="18">
        <v>3910</v>
      </c>
      <c r="I199" s="18">
        <v>1353.9</v>
      </c>
      <c r="J199" s="18">
        <v>1930</v>
      </c>
      <c r="K199" s="18"/>
      <c r="L199" s="19">
        <f>SUM(F199:K199)</f>
        <v>49862.16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312579.24</v>
      </c>
      <c r="G201" s="18">
        <v>21687.34</v>
      </c>
      <c r="H201" s="18">
        <v>39248.17</v>
      </c>
      <c r="I201" s="18">
        <v>10828.94</v>
      </c>
      <c r="J201" s="18">
        <v>2591.96</v>
      </c>
      <c r="K201" s="18"/>
      <c r="L201" s="19">
        <f t="shared" ref="L201:L207" si="0">SUM(F201:K201)</f>
        <v>386935.65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128893.02</v>
      </c>
      <c r="G202" s="18">
        <v>34684.629999999997</v>
      </c>
      <c r="H202" s="18">
        <v>87543.87</v>
      </c>
      <c r="I202" s="18">
        <v>15738.14</v>
      </c>
      <c r="J202" s="18">
        <v>49536.78</v>
      </c>
      <c r="K202" s="18"/>
      <c r="L202" s="19">
        <f t="shared" si="0"/>
        <v>316396.43999999994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296668.14</v>
      </c>
      <c r="G203" s="18">
        <v>57182.2</v>
      </c>
      <c r="H203" s="18">
        <v>50020.03</v>
      </c>
      <c r="I203" s="18">
        <v>5323.69</v>
      </c>
      <c r="J203" s="18">
        <v>2535.3200000000002</v>
      </c>
      <c r="K203" s="18">
        <v>10605.29</v>
      </c>
      <c r="L203" s="19">
        <f t="shared" si="0"/>
        <v>422334.67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246693.42</v>
      </c>
      <c r="G204" s="18">
        <v>321874.43</v>
      </c>
      <c r="H204" s="18">
        <v>23823.48</v>
      </c>
      <c r="I204" s="18">
        <v>23889.23</v>
      </c>
      <c r="J204" s="18">
        <v>12486.52</v>
      </c>
      <c r="K204" s="18">
        <v>2682.47</v>
      </c>
      <c r="L204" s="19">
        <f t="shared" si="0"/>
        <v>631449.54999999993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146241.68</v>
      </c>
      <c r="G206" s="18">
        <v>11116.61</v>
      </c>
      <c r="H206" s="18">
        <v>188166.38</v>
      </c>
      <c r="I206" s="18">
        <v>179804.68</v>
      </c>
      <c r="J206" s="18">
        <v>133298.9</v>
      </c>
      <c r="K206" s="18"/>
      <c r="L206" s="19">
        <f t="shared" si="0"/>
        <v>658628.25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304582.40000000002</v>
      </c>
      <c r="I207" s="18"/>
      <c r="J207" s="18"/>
      <c r="K207" s="18"/>
      <c r="L207" s="19">
        <f t="shared" si="0"/>
        <v>304582.40000000002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3610635.0400000005</v>
      </c>
      <c r="G210" s="41">
        <f t="shared" si="1"/>
        <v>1410781.68</v>
      </c>
      <c r="H210" s="41">
        <f t="shared" si="1"/>
        <v>722737.18</v>
      </c>
      <c r="I210" s="41">
        <f t="shared" si="1"/>
        <v>322337.20999999996</v>
      </c>
      <c r="J210" s="41">
        <f t="shared" si="1"/>
        <v>245815.43</v>
      </c>
      <c r="K210" s="41">
        <f t="shared" si="1"/>
        <v>13287.76</v>
      </c>
      <c r="L210" s="41">
        <f t="shared" si="1"/>
        <v>6325594.2999999998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3335390.97</v>
      </c>
      <c r="I232" s="18"/>
      <c r="J232" s="18"/>
      <c r="K232" s="18"/>
      <c r="L232" s="19">
        <f>SUM(F232:K232)</f>
        <v>3335390.97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73071.45</v>
      </c>
      <c r="G233" s="18"/>
      <c r="H233" s="18">
        <v>571420</v>
      </c>
      <c r="I233" s="18"/>
      <c r="J233" s="18"/>
      <c r="K233" s="18"/>
      <c r="L233" s="19">
        <f>SUM(F233:K233)</f>
        <v>644491.44999999995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13081.26</v>
      </c>
      <c r="G237" s="18">
        <v>1000.72</v>
      </c>
      <c r="H237" s="18"/>
      <c r="I237" s="18"/>
      <c r="J237" s="18"/>
      <c r="K237" s="18"/>
      <c r="L237" s="19">
        <f t="shared" ref="L237:L243" si="4">SUM(F237:K237)</f>
        <v>14081.98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11718.9</v>
      </c>
      <c r="G239" s="18">
        <v>896.49</v>
      </c>
      <c r="H239" s="18"/>
      <c r="I239" s="18"/>
      <c r="J239" s="18"/>
      <c r="K239" s="18"/>
      <c r="L239" s="19">
        <f t="shared" si="4"/>
        <v>12615.39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164006.1</v>
      </c>
      <c r="I243" s="18"/>
      <c r="J243" s="18"/>
      <c r="K243" s="18"/>
      <c r="L243" s="19">
        <f t="shared" si="4"/>
        <v>164006.1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97871.609999999986</v>
      </c>
      <c r="G246" s="41">
        <f t="shared" si="5"/>
        <v>1897.21</v>
      </c>
      <c r="H246" s="41">
        <f t="shared" si="5"/>
        <v>4070817.0700000003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4170585.89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19100</v>
      </c>
      <c r="I254" s="18"/>
      <c r="J254" s="18"/>
      <c r="K254" s="18"/>
      <c r="L254" s="19">
        <f t="shared" si="6"/>
        <v>19100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19100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19100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3708506.6500000004</v>
      </c>
      <c r="G256" s="41">
        <f t="shared" si="8"/>
        <v>1412678.89</v>
      </c>
      <c r="H256" s="41">
        <f t="shared" si="8"/>
        <v>4812654.25</v>
      </c>
      <c r="I256" s="41">
        <f t="shared" si="8"/>
        <v>322337.20999999996</v>
      </c>
      <c r="J256" s="41">
        <f t="shared" si="8"/>
        <v>245815.43</v>
      </c>
      <c r="K256" s="41">
        <f t="shared" si="8"/>
        <v>13287.76</v>
      </c>
      <c r="L256" s="41">
        <f t="shared" si="8"/>
        <v>10515280.189999999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516000</v>
      </c>
      <c r="L259" s="19">
        <f>SUM(F259:K259)</f>
        <v>516000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54546.89</v>
      </c>
      <c r="L260" s="19">
        <f>SUM(F260:K260)</f>
        <v>54546.89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3380.12</v>
      </c>
      <c r="L262" s="19">
        <f>SUM(F262:K262)</f>
        <v>3380.12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55000</v>
      </c>
      <c r="L265" s="19">
        <f t="shared" si="9"/>
        <v>55000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628927.01</v>
      </c>
      <c r="L269" s="41">
        <f t="shared" si="9"/>
        <v>628927.01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3708506.6500000004</v>
      </c>
      <c r="G270" s="42">
        <f t="shared" si="11"/>
        <v>1412678.89</v>
      </c>
      <c r="H270" s="42">
        <f t="shared" si="11"/>
        <v>4812654.25</v>
      </c>
      <c r="I270" s="42">
        <f t="shared" si="11"/>
        <v>322337.20999999996</v>
      </c>
      <c r="J270" s="42">
        <f t="shared" si="11"/>
        <v>245815.43</v>
      </c>
      <c r="K270" s="42">
        <f t="shared" si="11"/>
        <v>642214.77</v>
      </c>
      <c r="L270" s="42">
        <f t="shared" si="11"/>
        <v>11144207.199999999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94574.84</v>
      </c>
      <c r="G275" s="18">
        <v>3079.26</v>
      </c>
      <c r="H275" s="18"/>
      <c r="I275" s="18">
        <v>1728.17</v>
      </c>
      <c r="J275" s="18"/>
      <c r="K275" s="18">
        <v>50</v>
      </c>
      <c r="L275" s="19">
        <f>SUM(F275:K275)</f>
        <v>99432.26999999999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43412.35</v>
      </c>
      <c r="G276" s="18">
        <v>13335.08</v>
      </c>
      <c r="H276" s="18"/>
      <c r="I276" s="18">
        <v>300</v>
      </c>
      <c r="J276" s="18">
        <v>6117</v>
      </c>
      <c r="K276" s="18"/>
      <c r="L276" s="19">
        <f>SUM(F276:K276)</f>
        <v>63164.43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25900</v>
      </c>
      <c r="I280" s="18"/>
      <c r="J280" s="18"/>
      <c r="K280" s="18"/>
      <c r="L280" s="19">
        <f t="shared" ref="L280:L286" si="12">SUM(F280:K280)</f>
        <v>25900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7827.69</v>
      </c>
      <c r="I281" s="18"/>
      <c r="J281" s="18"/>
      <c r="K281" s="18"/>
      <c r="L281" s="19">
        <f t="shared" si="12"/>
        <v>7827.69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151.47</v>
      </c>
      <c r="G283" s="18"/>
      <c r="H283" s="18"/>
      <c r="I283" s="18"/>
      <c r="J283" s="18"/>
      <c r="K283" s="18"/>
      <c r="L283" s="19">
        <f t="shared" si="12"/>
        <v>151.47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138138.66</v>
      </c>
      <c r="G289" s="42">
        <f t="shared" si="13"/>
        <v>16414.34</v>
      </c>
      <c r="H289" s="42">
        <f t="shared" si="13"/>
        <v>33727.69</v>
      </c>
      <c r="I289" s="42">
        <f t="shared" si="13"/>
        <v>2028.17</v>
      </c>
      <c r="J289" s="42">
        <f t="shared" si="13"/>
        <v>6117</v>
      </c>
      <c r="K289" s="42">
        <f t="shared" si="13"/>
        <v>50</v>
      </c>
      <c r="L289" s="41">
        <f t="shared" si="13"/>
        <v>196475.86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>
        <v>45673.4</v>
      </c>
      <c r="I314" s="18"/>
      <c r="J314" s="18"/>
      <c r="K314" s="18"/>
      <c r="L314" s="19">
        <f>SUM(F314:K314)</f>
        <v>45673.4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45673.4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45673.4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138138.66</v>
      </c>
      <c r="G337" s="41">
        <f t="shared" si="20"/>
        <v>16414.34</v>
      </c>
      <c r="H337" s="41">
        <f t="shared" si="20"/>
        <v>79401.09</v>
      </c>
      <c r="I337" s="41">
        <f t="shared" si="20"/>
        <v>2028.17</v>
      </c>
      <c r="J337" s="41">
        <f t="shared" si="20"/>
        <v>6117</v>
      </c>
      <c r="K337" s="41">
        <f t="shared" si="20"/>
        <v>50</v>
      </c>
      <c r="L337" s="41">
        <f t="shared" si="20"/>
        <v>242149.25999999998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138138.66</v>
      </c>
      <c r="G351" s="41">
        <f>G337</f>
        <v>16414.34</v>
      </c>
      <c r="H351" s="41">
        <f>H337</f>
        <v>79401.09</v>
      </c>
      <c r="I351" s="41">
        <f>I337</f>
        <v>2028.17</v>
      </c>
      <c r="J351" s="41">
        <f>J337</f>
        <v>6117</v>
      </c>
      <c r="K351" s="47">
        <f>K337+K350</f>
        <v>50</v>
      </c>
      <c r="L351" s="41">
        <f>L337+L350</f>
        <v>242149.25999999998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79751.97</v>
      </c>
      <c r="G357" s="18">
        <v>11170.11</v>
      </c>
      <c r="H357" s="18">
        <v>2661.81</v>
      </c>
      <c r="I357" s="18">
        <v>83714.28</v>
      </c>
      <c r="J357" s="18">
        <v>149</v>
      </c>
      <c r="K357" s="18"/>
      <c r="L357" s="13">
        <f>SUM(F357:K357)</f>
        <v>177447.16999999998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79751.97</v>
      </c>
      <c r="G361" s="47">
        <f t="shared" si="22"/>
        <v>11170.11</v>
      </c>
      <c r="H361" s="47">
        <f t="shared" si="22"/>
        <v>2661.81</v>
      </c>
      <c r="I361" s="47">
        <f t="shared" si="22"/>
        <v>83714.28</v>
      </c>
      <c r="J361" s="47">
        <f t="shared" si="22"/>
        <v>149</v>
      </c>
      <c r="K361" s="47">
        <f t="shared" si="22"/>
        <v>0</v>
      </c>
      <c r="L361" s="47">
        <f t="shared" si="22"/>
        <v>177447.16999999998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83714.28</v>
      </c>
      <c r="G366" s="18"/>
      <c r="H366" s="18"/>
      <c r="I366" s="56">
        <f>SUM(F366:H366)</f>
        <v>83714.28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83714.28</v>
      </c>
      <c r="G368" s="47">
        <f>SUM(G366:G367)</f>
        <v>0</v>
      </c>
      <c r="H368" s="47">
        <f>SUM(H366:H367)</f>
        <v>0</v>
      </c>
      <c r="I368" s="47">
        <f>SUM(I366:I367)</f>
        <v>83714.28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25000</v>
      </c>
      <c r="H395" s="18"/>
      <c r="I395" s="18"/>
      <c r="J395" s="24" t="s">
        <v>289</v>
      </c>
      <c r="K395" s="24" t="s">
        <v>289</v>
      </c>
      <c r="L395" s="56">
        <f t="shared" si="26"/>
        <v>25000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30000</v>
      </c>
      <c r="H397" s="18"/>
      <c r="I397" s="18"/>
      <c r="J397" s="24" t="s">
        <v>289</v>
      </c>
      <c r="K397" s="24" t="s">
        <v>289</v>
      </c>
      <c r="L397" s="56">
        <f t="shared" si="26"/>
        <v>30000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55000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55000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55000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55000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v>55000</v>
      </c>
      <c r="I439" s="56">
        <f t="shared" si="33"/>
        <v>55000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55000</v>
      </c>
      <c r="I445" s="13">
        <f>SUM(I438:I444)</f>
        <v>55000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>
        <v>55000</v>
      </c>
      <c r="I458" s="56">
        <f t="shared" si="34"/>
        <v>55000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55000</v>
      </c>
      <c r="I459" s="83">
        <f>SUM(I453:I458)</f>
        <v>55000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55000</v>
      </c>
      <c r="I460" s="42">
        <f>I451+I459</f>
        <v>55000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380554.08</v>
      </c>
      <c r="G464" s="18"/>
      <c r="H464" s="18"/>
      <c r="I464" s="18"/>
      <c r="J464" s="18"/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11166024.859999999</v>
      </c>
      <c r="G467" s="18">
        <v>174386.47</v>
      </c>
      <c r="H467" s="18">
        <v>242149.26</v>
      </c>
      <c r="I467" s="18"/>
      <c r="J467" s="18">
        <v>55000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11166024.859999999</v>
      </c>
      <c r="G469" s="53">
        <f>SUM(G467:G468)</f>
        <v>174386.47</v>
      </c>
      <c r="H469" s="53">
        <f>SUM(H467:H468)</f>
        <v>242149.26</v>
      </c>
      <c r="I469" s="53">
        <f>SUM(I467:I468)</f>
        <v>0</v>
      </c>
      <c r="J469" s="53">
        <f>SUM(J467:J468)</f>
        <v>55000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11144207.199999999</v>
      </c>
      <c r="G471" s="18">
        <v>177447.17</v>
      </c>
      <c r="H471" s="18">
        <v>242149.26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319.42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11144207.199999999</v>
      </c>
      <c r="G473" s="53">
        <f>SUM(G471:G472)</f>
        <v>177766.59000000003</v>
      </c>
      <c r="H473" s="53">
        <f>SUM(H471:H472)</f>
        <v>242149.26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402371.74000000022</v>
      </c>
      <c r="G475" s="53">
        <f>(G464+G469)- G473</f>
        <v>-3380.1200000000244</v>
      </c>
      <c r="H475" s="53">
        <f>(H464+H469)- H473</f>
        <v>0</v>
      </c>
      <c r="I475" s="53">
        <f>(I464+I469)- I473</f>
        <v>0</v>
      </c>
      <c r="J475" s="53">
        <f>(J464+J469)- J473</f>
        <v>55000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2042521</v>
      </c>
      <c r="G492" s="18">
        <v>2076000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3.62</v>
      </c>
      <c r="G493" s="18">
        <v>1.24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200000</v>
      </c>
      <c r="G494" s="18">
        <v>2076000</v>
      </c>
      <c r="H494" s="18"/>
      <c r="I494" s="18"/>
      <c r="J494" s="18"/>
      <c r="K494" s="53">
        <f>SUM(F494:J494)</f>
        <v>2276000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>
        <f>G494-G497</f>
        <v>316000</v>
      </c>
      <c r="H496" s="18"/>
      <c r="I496" s="18"/>
      <c r="J496" s="18"/>
      <c r="K496" s="53">
        <f t="shared" si="35"/>
        <v>316000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>
        <v>1760000</v>
      </c>
      <c r="H497" s="204"/>
      <c r="I497" s="204"/>
      <c r="J497" s="204"/>
      <c r="K497" s="205">
        <f t="shared" si="35"/>
        <v>1760000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139275</v>
      </c>
      <c r="H498" s="18"/>
      <c r="I498" s="18"/>
      <c r="J498" s="18"/>
      <c r="K498" s="53">
        <f t="shared" si="35"/>
        <v>139275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1899275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1899275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v>315000</v>
      </c>
      <c r="H500" s="204"/>
      <c r="I500" s="204"/>
      <c r="J500" s="204"/>
      <c r="K500" s="205">
        <f t="shared" si="35"/>
        <v>315000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40400</v>
      </c>
      <c r="H501" s="18"/>
      <c r="I501" s="18"/>
      <c r="J501" s="18"/>
      <c r="K501" s="53">
        <f t="shared" si="35"/>
        <v>40400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355400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355400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663567.09</v>
      </c>
      <c r="G520" s="18">
        <v>163600.69</v>
      </c>
      <c r="H520" s="18">
        <v>25219.85</v>
      </c>
      <c r="I520" s="18">
        <v>4171.0600000000004</v>
      </c>
      <c r="J520" s="18">
        <v>13066.96</v>
      </c>
      <c r="K520" s="18"/>
      <c r="L520" s="88">
        <f>SUM(F520:K520)</f>
        <v>869625.65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73071.45</v>
      </c>
      <c r="G522" s="18"/>
      <c r="H522" s="18">
        <v>571420</v>
      </c>
      <c r="I522" s="18"/>
      <c r="J522" s="18"/>
      <c r="K522" s="18"/>
      <c r="L522" s="88">
        <f>SUM(F522:K522)</f>
        <v>644491.44999999995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736638.53999999992</v>
      </c>
      <c r="G523" s="108">
        <f t="shared" ref="G523:L523" si="36">SUM(G520:G522)</f>
        <v>163600.69</v>
      </c>
      <c r="H523" s="108">
        <f t="shared" si="36"/>
        <v>596639.85</v>
      </c>
      <c r="I523" s="108">
        <f t="shared" si="36"/>
        <v>4171.0600000000004</v>
      </c>
      <c r="J523" s="108">
        <f t="shared" si="36"/>
        <v>13066.96</v>
      </c>
      <c r="K523" s="108">
        <f t="shared" si="36"/>
        <v>0</v>
      </c>
      <c r="L523" s="89">
        <f t="shared" si="36"/>
        <v>1514117.1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156289.9</v>
      </c>
      <c r="G525" s="18">
        <v>11956.1</v>
      </c>
      <c r="H525" s="18">
        <v>1962.4</v>
      </c>
      <c r="I525" s="18">
        <v>541.4</v>
      </c>
      <c r="J525" s="18">
        <v>129.5</v>
      </c>
      <c r="K525" s="18"/>
      <c r="L525" s="88">
        <f>SUM(F525:K525)</f>
        <v>170879.3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68201.100000000006</v>
      </c>
      <c r="G527" s="18"/>
      <c r="H527" s="18"/>
      <c r="I527" s="18"/>
      <c r="J527" s="18"/>
      <c r="K527" s="18"/>
      <c r="L527" s="88">
        <f>SUM(F527:K527)</f>
        <v>68201.100000000006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224491</v>
      </c>
      <c r="G528" s="89">
        <f t="shared" ref="G528:L528" si="37">SUM(G525:G527)</f>
        <v>11956.1</v>
      </c>
      <c r="H528" s="89">
        <f t="shared" si="37"/>
        <v>1962.4</v>
      </c>
      <c r="I528" s="89">
        <f t="shared" si="37"/>
        <v>541.4</v>
      </c>
      <c r="J528" s="89">
        <f t="shared" si="37"/>
        <v>129.5</v>
      </c>
      <c r="K528" s="89">
        <f t="shared" si="37"/>
        <v>0</v>
      </c>
      <c r="L528" s="89">
        <f t="shared" si="37"/>
        <v>239080.4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89004.4</v>
      </c>
      <c r="G530" s="18"/>
      <c r="H530" s="18"/>
      <c r="I530" s="18"/>
      <c r="J530" s="18"/>
      <c r="K530" s="18"/>
      <c r="L530" s="88">
        <f>SUM(F530:K530)</f>
        <v>89004.4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46586</v>
      </c>
      <c r="G532" s="18"/>
      <c r="H532" s="18"/>
      <c r="I532" s="18"/>
      <c r="J532" s="18"/>
      <c r="K532" s="18"/>
      <c r="L532" s="88">
        <f>SUM(F532:K532)</f>
        <v>46586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135590.39999999999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135590.39999999999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114828.85</v>
      </c>
      <c r="I540" s="18"/>
      <c r="J540" s="18"/>
      <c r="K540" s="18"/>
      <c r="L540" s="88">
        <f>SUM(F540:K540)</f>
        <v>114828.85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114828.85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114828.85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1096719.94</v>
      </c>
      <c r="G544" s="89">
        <f t="shared" ref="G544:L544" si="41">G523+G528+G533+G538+G543</f>
        <v>175556.79</v>
      </c>
      <c r="H544" s="89">
        <f t="shared" si="41"/>
        <v>713431.1</v>
      </c>
      <c r="I544" s="89">
        <f t="shared" si="41"/>
        <v>4712.46</v>
      </c>
      <c r="J544" s="89">
        <f t="shared" si="41"/>
        <v>13196.46</v>
      </c>
      <c r="K544" s="89">
        <f t="shared" si="41"/>
        <v>0</v>
      </c>
      <c r="L544" s="89">
        <f t="shared" si="41"/>
        <v>2003616.75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869625.65</v>
      </c>
      <c r="G548" s="87">
        <f>L525</f>
        <v>170879.3</v>
      </c>
      <c r="H548" s="87">
        <f>L530</f>
        <v>89004.4</v>
      </c>
      <c r="I548" s="87">
        <f>L535</f>
        <v>0</v>
      </c>
      <c r="J548" s="87">
        <f>L540</f>
        <v>114828.85</v>
      </c>
      <c r="K548" s="87">
        <f>SUM(F548:J548)</f>
        <v>1244338.2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644491.44999999995</v>
      </c>
      <c r="G550" s="87">
        <f>L527</f>
        <v>68201.100000000006</v>
      </c>
      <c r="H550" s="87">
        <f>L532</f>
        <v>46586</v>
      </c>
      <c r="I550" s="87">
        <f>L537</f>
        <v>0</v>
      </c>
      <c r="J550" s="87">
        <f>L542</f>
        <v>0</v>
      </c>
      <c r="K550" s="87">
        <f>SUM(F550:J550)</f>
        <v>759278.54999999993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1514117.1</v>
      </c>
      <c r="G551" s="89">
        <f t="shared" si="42"/>
        <v>239080.4</v>
      </c>
      <c r="H551" s="89">
        <f t="shared" si="42"/>
        <v>135590.39999999999</v>
      </c>
      <c r="I551" s="89">
        <f t="shared" si="42"/>
        <v>0</v>
      </c>
      <c r="J551" s="89">
        <f t="shared" si="42"/>
        <v>114828.85</v>
      </c>
      <c r="K551" s="89">
        <f t="shared" si="42"/>
        <v>2003616.75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3335326.55</v>
      </c>
      <c r="I576" s="87">
        <f t="shared" si="47"/>
        <v>3335326.55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64.42</v>
      </c>
      <c r="I578" s="87">
        <f t="shared" si="47"/>
        <v>64.42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319669.33</v>
      </c>
      <c r="I580" s="87">
        <f t="shared" si="47"/>
        <v>319669.33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251750.67</v>
      </c>
      <c r="I581" s="87">
        <f t="shared" si="47"/>
        <v>251750.67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182727.9</v>
      </c>
      <c r="I590" s="18"/>
      <c r="J590" s="18">
        <v>164006.1</v>
      </c>
      <c r="K590" s="104">
        <f t="shared" ref="K590:K596" si="48">SUM(H590:J590)</f>
        <v>346734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114828.85</v>
      </c>
      <c r="I591" s="18"/>
      <c r="J591" s="18"/>
      <c r="K591" s="104">
        <f t="shared" si="48"/>
        <v>114828.85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7025.65</v>
      </c>
      <c r="I593" s="18"/>
      <c r="J593" s="18"/>
      <c r="K593" s="104">
        <f t="shared" si="48"/>
        <v>7025.65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304582.40000000002</v>
      </c>
      <c r="I597" s="108">
        <f>SUM(I590:I596)</f>
        <v>0</v>
      </c>
      <c r="J597" s="108">
        <f>SUM(J590:J596)</f>
        <v>164006.1</v>
      </c>
      <c r="K597" s="108">
        <f>SUM(K590:K596)</f>
        <v>468588.5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251932.43</v>
      </c>
      <c r="I603" s="18"/>
      <c r="J603" s="18"/>
      <c r="K603" s="104">
        <f>SUM(H603:J603)</f>
        <v>251932.43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251932.43</v>
      </c>
      <c r="I604" s="108">
        <f>SUM(I601:I603)</f>
        <v>0</v>
      </c>
      <c r="J604" s="108">
        <f>SUM(J601:J603)</f>
        <v>0</v>
      </c>
      <c r="K604" s="108">
        <f>SUM(K601:K603)</f>
        <v>251932.43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453888.4</v>
      </c>
      <c r="H616" s="109">
        <f>SUM(F51)</f>
        <v>453888.39999999997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17793.84</v>
      </c>
      <c r="H617" s="109">
        <f>SUM(G51)</f>
        <v>17793.84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18602.29</v>
      </c>
      <c r="H618" s="109">
        <f>SUM(H51)</f>
        <v>18602.29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55000</v>
      </c>
      <c r="H620" s="109">
        <f>SUM(J51)</f>
        <v>55000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402371.74</v>
      </c>
      <c r="H621" s="109">
        <f>F475</f>
        <v>402371.74000000022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-3380.12</v>
      </c>
      <c r="H622" s="109">
        <f>G475</f>
        <v>-3380.1200000000244</v>
      </c>
      <c r="I622" s="121" t="s">
        <v>102</v>
      </c>
      <c r="J622" s="109">
        <f t="shared" si="50"/>
        <v>2.4556356947869062E-11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55000</v>
      </c>
      <c r="H625" s="109">
        <f>J475</f>
        <v>55000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11166024.859999999</v>
      </c>
      <c r="H626" s="104">
        <f>SUM(F467)</f>
        <v>11166024.859999999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174386.47</v>
      </c>
      <c r="H627" s="104">
        <f>SUM(G467)</f>
        <v>174386.47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242149.25999999998</v>
      </c>
      <c r="H628" s="104">
        <f>SUM(H467)</f>
        <v>242149.26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55000</v>
      </c>
      <c r="H630" s="104">
        <f>SUM(J467)</f>
        <v>55000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11144207.199999999</v>
      </c>
      <c r="H631" s="104">
        <f>SUM(F471)</f>
        <v>11144207.199999999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242149.25999999998</v>
      </c>
      <c r="H632" s="104">
        <f>SUM(H471)</f>
        <v>242149.26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83714.28</v>
      </c>
      <c r="H633" s="104">
        <f>I368</f>
        <v>83714.28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177447.16999999998</v>
      </c>
      <c r="H634" s="104">
        <f>SUM(G471)</f>
        <v>177447.17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55000</v>
      </c>
      <c r="H636" s="164">
        <f>SUM(J467)</f>
        <v>55000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55000</v>
      </c>
      <c r="H640" s="104">
        <f>SUM(H460)</f>
        <v>55000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55000</v>
      </c>
      <c r="H641" s="104">
        <f>SUM(I460)</f>
        <v>55000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55000</v>
      </c>
      <c r="H644" s="104">
        <f>G407</f>
        <v>55000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55000</v>
      </c>
      <c r="H645" s="104">
        <f>L407</f>
        <v>55000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468588.5</v>
      </c>
      <c r="H646" s="104">
        <f>L207+L225+L243</f>
        <v>468588.5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251932.43</v>
      </c>
      <c r="H647" s="104">
        <f>(J256+J337)-(J254+J335)</f>
        <v>251932.43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304582.40000000002</v>
      </c>
      <c r="H648" s="104">
        <f>H597</f>
        <v>304582.40000000002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164006.1</v>
      </c>
      <c r="H650" s="104">
        <f>J597</f>
        <v>164006.1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3380.12</v>
      </c>
      <c r="H651" s="104">
        <f>K262+K344</f>
        <v>3380.12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55000</v>
      </c>
      <c r="H654" s="104">
        <f>K265+K346</f>
        <v>55000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6699517.3300000001</v>
      </c>
      <c r="G659" s="19">
        <f>(L228+L308+L358)</f>
        <v>0</v>
      </c>
      <c r="H659" s="19">
        <f>(L246+L327+L359)</f>
        <v>4216259.29</v>
      </c>
      <c r="I659" s="19">
        <f>SUM(F659:H659)</f>
        <v>10915776.620000001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126821.74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126821.74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304582.40000000002</v>
      </c>
      <c r="G661" s="19">
        <f>(L225+L305)-(J225+J305)</f>
        <v>0</v>
      </c>
      <c r="H661" s="19">
        <f>(L243+L324)-(J243+J324)</f>
        <v>164006.1</v>
      </c>
      <c r="I661" s="19">
        <f>SUM(F661:H661)</f>
        <v>468588.5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251932.43</v>
      </c>
      <c r="G662" s="199">
        <f>SUM(G574:G586)+SUM(I601:I603)+L611</f>
        <v>0</v>
      </c>
      <c r="H662" s="199">
        <f>SUM(H574:H586)+SUM(J601:J603)+L612</f>
        <v>3906810.9699999997</v>
      </c>
      <c r="I662" s="19">
        <f>SUM(F662:H662)</f>
        <v>4158743.4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6016180.7599999998</v>
      </c>
      <c r="G663" s="19">
        <f>G659-SUM(G660:G662)</f>
        <v>0</v>
      </c>
      <c r="H663" s="19">
        <f>H659-SUM(H660:H662)</f>
        <v>145442.2200000002</v>
      </c>
      <c r="I663" s="19">
        <f>I659-SUM(I660:I662)</f>
        <v>6161622.9800000014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536.57000000000005</v>
      </c>
      <c r="G664" s="248"/>
      <c r="H664" s="248"/>
      <c r="I664" s="19">
        <f>SUM(F664:H664)</f>
        <v>536.57000000000005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11212.29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11483.35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-145442.22</v>
      </c>
      <c r="I668" s="19">
        <f>SUM(F668:H668)</f>
        <v>-145442.22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11212.29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11212.29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Chester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1870880.58</v>
      </c>
      <c r="C9" s="229">
        <f>'DOE25'!G196+'DOE25'!G214+'DOE25'!G232+'DOE25'!G275+'DOE25'!G294+'DOE25'!G313</f>
        <v>800733.49</v>
      </c>
    </row>
    <row r="10" spans="1:3" x14ac:dyDescent="0.2">
      <c r="A10" t="s">
        <v>779</v>
      </c>
      <c r="B10" s="240">
        <v>1870880.58</v>
      </c>
      <c r="C10" s="240">
        <v>800733.49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1870880.58</v>
      </c>
      <c r="C13" s="231">
        <f>SUM(C10:C12)</f>
        <v>800733.49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780050.8899999999</v>
      </c>
      <c r="C18" s="229">
        <f>'DOE25'!G197+'DOE25'!G215+'DOE25'!G233+'DOE25'!G276+'DOE25'!G295+'DOE25'!G314</f>
        <v>176935.77</v>
      </c>
    </row>
    <row r="19" spans="1:3" x14ac:dyDescent="0.2">
      <c r="A19" t="s">
        <v>779</v>
      </c>
      <c r="B19" s="240">
        <v>775167.54</v>
      </c>
      <c r="C19" s="240">
        <v>176935.77</v>
      </c>
    </row>
    <row r="20" spans="1:3" x14ac:dyDescent="0.2">
      <c r="A20" t="s">
        <v>780</v>
      </c>
      <c r="B20" s="240">
        <v>4883.3500000000004</v>
      </c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780050.89</v>
      </c>
      <c r="C22" s="231">
        <f>SUM(C19:C21)</f>
        <v>176935.77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39686.71</v>
      </c>
      <c r="C36" s="235">
        <f>'DOE25'!G199+'DOE25'!G217+'DOE25'!G235+'DOE25'!G278+'DOE25'!G297+'DOE25'!G316</f>
        <v>2981.55</v>
      </c>
    </row>
    <row r="37" spans="1:3" x14ac:dyDescent="0.2">
      <c r="A37" t="s">
        <v>779</v>
      </c>
      <c r="B37" s="240">
        <v>39686.71</v>
      </c>
      <c r="C37" s="240">
        <v>2981.55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39686.71</v>
      </c>
      <c r="C40" s="231">
        <f>SUM(C37:C39)</f>
        <v>2981.55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I38" sqref="I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Chester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7585149.7599999998</v>
      </c>
      <c r="D5" s="20">
        <f>SUM('DOE25'!L196:L199)+SUM('DOE25'!L214:L217)+SUM('DOE25'!L232:L235)-F5-G5</f>
        <v>7539783.8099999996</v>
      </c>
      <c r="E5" s="243"/>
      <c r="F5" s="255">
        <f>SUM('DOE25'!J196:J199)+SUM('DOE25'!J214:J217)+SUM('DOE25'!J232:J235)</f>
        <v>45365.95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401017.63</v>
      </c>
      <c r="D6" s="20">
        <f>'DOE25'!L201+'DOE25'!L219+'DOE25'!L237-F6-G6</f>
        <v>398425.67</v>
      </c>
      <c r="E6" s="243"/>
      <c r="F6" s="255">
        <f>'DOE25'!J201+'DOE25'!J219+'DOE25'!J237</f>
        <v>2591.96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316396.43999999994</v>
      </c>
      <c r="D7" s="20">
        <f>'DOE25'!L202+'DOE25'!L220+'DOE25'!L238-F7-G7</f>
        <v>266859.65999999992</v>
      </c>
      <c r="E7" s="243"/>
      <c r="F7" s="255">
        <f>'DOE25'!J202+'DOE25'!J220+'DOE25'!J238</f>
        <v>49536.78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252297.46000000002</v>
      </c>
      <c r="D8" s="243"/>
      <c r="E8" s="20">
        <f>'DOE25'!L203+'DOE25'!L221+'DOE25'!L239-F8-G8-D9-D11</f>
        <v>239156.85</v>
      </c>
      <c r="F8" s="255">
        <f>'DOE25'!J203+'DOE25'!J221+'DOE25'!J239</f>
        <v>2535.3200000000002</v>
      </c>
      <c r="G8" s="53">
        <f>'DOE25'!K203+'DOE25'!K221+'DOE25'!K239</f>
        <v>10605.29</v>
      </c>
      <c r="H8" s="259"/>
    </row>
    <row r="9" spans="1:9" x14ac:dyDescent="0.2">
      <c r="A9" s="32">
        <v>2310</v>
      </c>
      <c r="B9" t="s">
        <v>818</v>
      </c>
      <c r="C9" s="245">
        <f t="shared" si="0"/>
        <v>43037.63</v>
      </c>
      <c r="D9" s="244">
        <v>43037.63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14750</v>
      </c>
      <c r="D10" s="243"/>
      <c r="E10" s="244">
        <v>14750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139614.97</v>
      </c>
      <c r="D11" s="244">
        <v>139614.97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631449.54999999993</v>
      </c>
      <c r="D12" s="20">
        <f>'DOE25'!L204+'DOE25'!L222+'DOE25'!L240-F12-G12</f>
        <v>616280.55999999994</v>
      </c>
      <c r="E12" s="243"/>
      <c r="F12" s="255">
        <f>'DOE25'!J204+'DOE25'!J222+'DOE25'!J240</f>
        <v>12486.52</v>
      </c>
      <c r="G12" s="53">
        <f>'DOE25'!K204+'DOE25'!K222+'DOE25'!K240</f>
        <v>2682.47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658628.25</v>
      </c>
      <c r="D14" s="20">
        <f>'DOE25'!L206+'DOE25'!L224+'DOE25'!L242-F14-G14</f>
        <v>525329.35</v>
      </c>
      <c r="E14" s="243"/>
      <c r="F14" s="255">
        <f>'DOE25'!J206+'DOE25'!J224+'DOE25'!J242</f>
        <v>133298.9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468588.5</v>
      </c>
      <c r="D15" s="20">
        <f>'DOE25'!L207+'DOE25'!L225+'DOE25'!L243-F15-G15</f>
        <v>468588.5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19100</v>
      </c>
      <c r="D22" s="243"/>
      <c r="E22" s="243"/>
      <c r="F22" s="255">
        <f>'DOE25'!L254+'DOE25'!L335</f>
        <v>19100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570546.89</v>
      </c>
      <c r="D25" s="243"/>
      <c r="E25" s="243"/>
      <c r="F25" s="258"/>
      <c r="G25" s="256"/>
      <c r="H25" s="257">
        <f>'DOE25'!L259+'DOE25'!L260+'DOE25'!L340+'DOE25'!L341</f>
        <v>570546.89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93732.889999999985</v>
      </c>
      <c r="D29" s="20">
        <f>'DOE25'!L357+'DOE25'!L358+'DOE25'!L359-'DOE25'!I366-F29-G29</f>
        <v>93583.889999999985</v>
      </c>
      <c r="E29" s="243"/>
      <c r="F29" s="255">
        <f>'DOE25'!J357+'DOE25'!J358+'DOE25'!J359</f>
        <v>149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242149.25999999998</v>
      </c>
      <c r="D31" s="20">
        <f>'DOE25'!L289+'DOE25'!L308+'DOE25'!L327+'DOE25'!L332+'DOE25'!L333+'DOE25'!L334-F31-G31</f>
        <v>235982.25999999998</v>
      </c>
      <c r="E31" s="243"/>
      <c r="F31" s="255">
        <f>'DOE25'!J289+'DOE25'!J308+'DOE25'!J327+'DOE25'!J332+'DOE25'!J333+'DOE25'!J334</f>
        <v>6117</v>
      </c>
      <c r="G31" s="53">
        <f>'DOE25'!K289+'DOE25'!K308+'DOE25'!K327+'DOE25'!K332+'DOE25'!K333+'DOE25'!K334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10327486.299999999</v>
      </c>
      <c r="E33" s="246">
        <f>SUM(E5:E31)</f>
        <v>253906.85</v>
      </c>
      <c r="F33" s="246">
        <f>SUM(F5:F31)</f>
        <v>271181.43</v>
      </c>
      <c r="G33" s="246">
        <f>SUM(G5:G31)</f>
        <v>13337.76</v>
      </c>
      <c r="H33" s="246">
        <f>SUM(H5:H31)</f>
        <v>570546.89</v>
      </c>
    </row>
    <row r="35" spans="2:8" ht="12" thickBot="1" x14ac:dyDescent="0.25">
      <c r="B35" s="253" t="s">
        <v>847</v>
      </c>
      <c r="D35" s="254">
        <f>E33</f>
        <v>253906.85</v>
      </c>
      <c r="E35" s="249"/>
    </row>
    <row r="36" spans="2:8" ht="12" thickTop="1" x14ac:dyDescent="0.2">
      <c r="B36" t="s">
        <v>815</v>
      </c>
      <c r="D36" s="20">
        <f>D33</f>
        <v>10327486.299999999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11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387434.33</v>
      </c>
      <c r="D8" s="95">
        <f>'DOE25'!G9</f>
        <v>7716.15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55000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65978.48</v>
      </c>
      <c r="D11" s="95">
        <f>'DOE25'!G12</f>
        <v>6697.57</v>
      </c>
      <c r="E11" s="95">
        <f>'DOE25'!H12</f>
        <v>18602.29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3380.12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475.59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453888.4</v>
      </c>
      <c r="D18" s="41">
        <f>SUM(D8:D17)</f>
        <v>17793.84</v>
      </c>
      <c r="E18" s="41">
        <f>SUM(E8:E17)</f>
        <v>18602.29</v>
      </c>
      <c r="F18" s="41">
        <f>SUM(F8:F17)</f>
        <v>0</v>
      </c>
      <c r="G18" s="41">
        <f>SUM(G8:G17)</f>
        <v>55000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17793.84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3380.12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46445.45</v>
      </c>
      <c r="D23" s="95">
        <f>'DOE25'!G24</f>
        <v>0</v>
      </c>
      <c r="E23" s="95">
        <f>'DOE25'!H24</f>
        <v>18602.29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5071.21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51516.659999999996</v>
      </c>
      <c r="D31" s="41">
        <f>SUM(D21:D30)</f>
        <v>21173.96</v>
      </c>
      <c r="E31" s="41">
        <f>SUM(E21:E30)</f>
        <v>18602.29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175912.21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-3380.12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25000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55000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201459.53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402371.74</v>
      </c>
      <c r="D49" s="41">
        <f>SUM(D34:D48)</f>
        <v>-3380.12</v>
      </c>
      <c r="E49" s="41">
        <f>SUM(E34:E48)</f>
        <v>0</v>
      </c>
      <c r="F49" s="41">
        <f>SUM(F34:F48)</f>
        <v>0</v>
      </c>
      <c r="G49" s="41">
        <f>SUM(G34:G48)</f>
        <v>55000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453888.39999999997</v>
      </c>
      <c r="D50" s="41">
        <f>D49+D31</f>
        <v>17793.84</v>
      </c>
      <c r="E50" s="41">
        <f>E49+E31</f>
        <v>18602.29</v>
      </c>
      <c r="F50" s="41">
        <f>F49+F31</f>
        <v>0</v>
      </c>
      <c r="G50" s="41">
        <f>G49+G31</f>
        <v>55000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6657544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11970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280.89999999999998</v>
      </c>
      <c r="D58" s="95">
        <f>'DOE25'!G95</f>
        <v>12.46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126821.74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10769.380000000001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23020.28</v>
      </c>
      <c r="D61" s="130">
        <f>SUM(D56:D60)</f>
        <v>126834.20000000001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6680564.2800000003</v>
      </c>
      <c r="D62" s="22">
        <f>D55+D61</f>
        <v>126834.20000000001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3025945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1137763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4163708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144781.46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62100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61535.67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2196.4699999999998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268417.13</v>
      </c>
      <c r="D77" s="130">
        <f>SUM(D71:D76)</f>
        <v>2196.4699999999998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4432125.13</v>
      </c>
      <c r="D80" s="130">
        <f>SUM(D78:D79)+D77+D69</f>
        <v>2196.4699999999998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53335.45</v>
      </c>
      <c r="D87" s="95">
        <f>SUM('DOE25'!G152:G160)</f>
        <v>41975.68</v>
      </c>
      <c r="E87" s="95">
        <f>SUM('DOE25'!H152:H160)</f>
        <v>239602.3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2546.96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53335.45</v>
      </c>
      <c r="D90" s="131">
        <f>SUM(D84:D89)</f>
        <v>41975.68</v>
      </c>
      <c r="E90" s="131">
        <f>SUM(E84:E89)</f>
        <v>242149.25999999998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3380.12</v>
      </c>
      <c r="E95" s="95">
        <f>'DOE25'!H178</f>
        <v>0</v>
      </c>
      <c r="F95" s="95">
        <f>'DOE25'!I178</f>
        <v>0</v>
      </c>
      <c r="G95" s="95">
        <f>'DOE25'!J178</f>
        <v>55000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3380.12</v>
      </c>
      <c r="E102" s="86">
        <f>SUM(E92:E101)</f>
        <v>0</v>
      </c>
      <c r="F102" s="86">
        <f>SUM(F92:F101)</f>
        <v>0</v>
      </c>
      <c r="G102" s="86">
        <f>SUM(G92:G101)</f>
        <v>55000</v>
      </c>
    </row>
    <row r="103" spans="1:7" ht="12.75" thickTop="1" thickBot="1" x14ac:dyDescent="0.25">
      <c r="A103" s="33" t="s">
        <v>765</v>
      </c>
      <c r="C103" s="86">
        <f>C62+C80+C90+C102</f>
        <v>11166024.859999999</v>
      </c>
      <c r="D103" s="86">
        <f>D62+D80+D90+D102</f>
        <v>174386.47</v>
      </c>
      <c r="E103" s="86">
        <f>E62+E80+E90+E102</f>
        <v>242149.25999999998</v>
      </c>
      <c r="F103" s="86">
        <f>F62+F80+F90+F102</f>
        <v>0</v>
      </c>
      <c r="G103" s="86">
        <f>G62+G80+G102</f>
        <v>55000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6021170.5</v>
      </c>
      <c r="D108" s="24" t="s">
        <v>289</v>
      </c>
      <c r="E108" s="95">
        <f>('DOE25'!L275)+('DOE25'!L294)+('DOE25'!L313)</f>
        <v>99432.26999999999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1514117.1</v>
      </c>
      <c r="D109" s="24" t="s">
        <v>289</v>
      </c>
      <c r="E109" s="95">
        <f>('DOE25'!L276)+('DOE25'!L295)+('DOE25'!L314)</f>
        <v>108837.83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49862.16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7585149.7599999998</v>
      </c>
      <c r="D114" s="86">
        <f>SUM(D108:D113)</f>
        <v>0</v>
      </c>
      <c r="E114" s="86">
        <f>SUM(E108:E113)</f>
        <v>208270.09999999998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401017.63</v>
      </c>
      <c r="D117" s="24" t="s">
        <v>289</v>
      </c>
      <c r="E117" s="95">
        <f>+('DOE25'!L280)+('DOE25'!L299)+('DOE25'!L318)</f>
        <v>25900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316396.43999999994</v>
      </c>
      <c r="D118" s="24" t="s">
        <v>289</v>
      </c>
      <c r="E118" s="95">
        <f>+('DOE25'!L281)+('DOE25'!L300)+('DOE25'!L319)</f>
        <v>7827.69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434950.06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631449.54999999993</v>
      </c>
      <c r="D120" s="24" t="s">
        <v>289</v>
      </c>
      <c r="E120" s="95">
        <f>+('DOE25'!L283)+('DOE25'!L302)+('DOE25'!L321)</f>
        <v>151.47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658628.25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468588.5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177447.16999999998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2911030.4299999997</v>
      </c>
      <c r="D127" s="86">
        <f>SUM(D117:D126)</f>
        <v>177447.16999999998</v>
      </c>
      <c r="E127" s="86">
        <f>SUM(E117:E126)</f>
        <v>33879.160000000003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19100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516000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54546.89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3380.12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55000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648027.01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11144207.199999999</v>
      </c>
      <c r="D144" s="86">
        <f>(D114+D127+D143)</f>
        <v>177447.16999999998</v>
      </c>
      <c r="E144" s="86">
        <f>(E114+E127+E143)</f>
        <v>242149.25999999998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July/02</v>
      </c>
      <c r="C151" s="152" t="str">
        <f>'DOE25'!G490</f>
        <v>January/12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July/12</v>
      </c>
      <c r="C152" s="152" t="str">
        <f>'DOE25'!G491</f>
        <v>July/18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2042521</v>
      </c>
      <c r="C153" s="137">
        <f>'DOE25'!G492</f>
        <v>2076000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3.62</v>
      </c>
      <c r="C154" s="137">
        <f>'DOE25'!G493</f>
        <v>1.24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200000</v>
      </c>
      <c r="C155" s="137">
        <f>'DOE25'!G494</f>
        <v>2076000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2276000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316000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316000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1760000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1760000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139275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139275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1899275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1899275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315000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315000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40400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40400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355400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355400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Chester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11212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11212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6120603</v>
      </c>
      <c r="D10" s="182">
        <f>ROUND((C10/$C$28)*100,1)</f>
        <v>56.4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1622955</v>
      </c>
      <c r="D11" s="182">
        <f>ROUND((C11/$C$28)*100,1)</f>
        <v>15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49862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426918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324224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434950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631601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658628</v>
      </c>
      <c r="D20" s="182">
        <f t="shared" si="0"/>
        <v>6.1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468589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54547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50625.259999999995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10843502.26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19100</v>
      </c>
    </row>
    <row r="30" spans="1:4" x14ac:dyDescent="0.2">
      <c r="B30" s="187" t="s">
        <v>729</v>
      </c>
      <c r="C30" s="180">
        <f>SUM(C28:C29)</f>
        <v>10862602.26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516000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6657544</v>
      </c>
      <c r="D35" s="182">
        <f t="shared" ref="D35:D40" si="1">ROUND((C35/$C$41)*100,1)</f>
        <v>58.1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23032.740000000224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4163708</v>
      </c>
      <c r="D37" s="182">
        <f t="shared" si="1"/>
        <v>36.4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270614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337460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11452358.74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Chester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2013-09-05T18:35:28Z</cp:lastPrinted>
  <dcterms:created xsi:type="dcterms:W3CDTF">1997-12-04T19:04:30Z</dcterms:created>
  <dcterms:modified xsi:type="dcterms:W3CDTF">2013-11-14T15:46:13Z</dcterms:modified>
</cp:coreProperties>
</file>