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="1" iterateCount="1"/>
</workbook>
</file>

<file path=xl/calcChain.xml><?xml version="1.0" encoding="utf-8"?>
<calcChain xmlns="http://schemas.openxmlformats.org/spreadsheetml/2006/main">
  <c r="G610" i="1" l="1"/>
  <c r="H574" i="1"/>
  <c r="F577" i="1"/>
  <c r="F574" i="1"/>
  <c r="G525" i="1"/>
  <c r="H525" i="1"/>
  <c r="I525" i="1"/>
  <c r="J525" i="1"/>
  <c r="F525" i="1"/>
  <c r="H520" i="1"/>
  <c r="J520" i="1"/>
  <c r="I520" i="1"/>
  <c r="G520" i="1"/>
  <c r="F520" i="1"/>
  <c r="J275" i="1"/>
  <c r="J95" i="1"/>
  <c r="I357" i="1"/>
  <c r="H357" i="1"/>
  <c r="G357" i="1"/>
  <c r="H281" i="1"/>
  <c r="I281" i="1"/>
  <c r="G275" i="1"/>
  <c r="J467" i="1" l="1"/>
  <c r="H471" i="1"/>
  <c r="H467" i="1"/>
  <c r="J201" i="1"/>
  <c r="I204" i="1"/>
  <c r="I202" i="1"/>
  <c r="I201" i="1"/>
  <c r="I199" i="1"/>
  <c r="H208" i="1"/>
  <c r="H207" i="1"/>
  <c r="H203" i="1"/>
  <c r="H202" i="1"/>
  <c r="H201" i="1"/>
  <c r="G208" i="1"/>
  <c r="G203" i="1"/>
  <c r="G202" i="1"/>
  <c r="G201" i="1"/>
  <c r="G199" i="1"/>
  <c r="F203" i="1"/>
  <c r="F202" i="1"/>
  <c r="F201" i="1"/>
  <c r="F199" i="1"/>
  <c r="H158" i="1"/>
  <c r="H154" i="1"/>
  <c r="H153" i="1"/>
  <c r="H149" i="1"/>
  <c r="G96" i="1"/>
  <c r="F109" i="1"/>
  <c r="F12" i="1"/>
  <c r="F9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C119" i="2" s="1"/>
  <c r="L221" i="1"/>
  <c r="L239" i="1"/>
  <c r="D39" i="13"/>
  <c r="F13" i="13"/>
  <c r="G13" i="13"/>
  <c r="L205" i="1"/>
  <c r="L223" i="1"/>
  <c r="L241" i="1"/>
  <c r="F16" i="13"/>
  <c r="G16" i="13"/>
  <c r="L208" i="1"/>
  <c r="C124" i="2" s="1"/>
  <c r="L226" i="1"/>
  <c r="L244" i="1"/>
  <c r="F5" i="13"/>
  <c r="G5" i="13"/>
  <c r="L196" i="1"/>
  <c r="L197" i="1"/>
  <c r="L198" i="1"/>
  <c r="L199" i="1"/>
  <c r="C111" i="2" s="1"/>
  <c r="L214" i="1"/>
  <c r="L215" i="1"/>
  <c r="L216" i="1"/>
  <c r="L217" i="1"/>
  <c r="L232" i="1"/>
  <c r="L233" i="1"/>
  <c r="L246" i="1" s="1"/>
  <c r="L234" i="1"/>
  <c r="L235" i="1"/>
  <c r="F6" i="13"/>
  <c r="G6" i="13"/>
  <c r="L201" i="1"/>
  <c r="D6" i="13" s="1"/>
  <c r="C6" i="13" s="1"/>
  <c r="L219" i="1"/>
  <c r="L237" i="1"/>
  <c r="F7" i="13"/>
  <c r="G7" i="13"/>
  <c r="L202" i="1"/>
  <c r="L220" i="1"/>
  <c r="L238" i="1"/>
  <c r="F12" i="13"/>
  <c r="G12" i="13"/>
  <c r="L204" i="1"/>
  <c r="C18" i="10" s="1"/>
  <c r="L222" i="1"/>
  <c r="L240" i="1"/>
  <c r="F14" i="13"/>
  <c r="G14" i="13"/>
  <c r="L206" i="1"/>
  <c r="C20" i="10" s="1"/>
  <c r="L224" i="1"/>
  <c r="L242" i="1"/>
  <c r="F15" i="13"/>
  <c r="G15" i="13"/>
  <c r="L207" i="1"/>
  <c r="G648" i="1" s="1"/>
  <c r="L225" i="1"/>
  <c r="H646" i="1" s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F660" i="1" s="1"/>
  <c r="L358" i="1"/>
  <c r="L359" i="1"/>
  <c r="I366" i="1"/>
  <c r="J289" i="1"/>
  <c r="J308" i="1"/>
  <c r="J327" i="1"/>
  <c r="K289" i="1"/>
  <c r="K308" i="1"/>
  <c r="K327" i="1"/>
  <c r="L275" i="1"/>
  <c r="E108" i="2" s="1"/>
  <c r="E114" i="2" s="1"/>
  <c r="L276" i="1"/>
  <c r="L277" i="1"/>
  <c r="L278" i="1"/>
  <c r="L280" i="1"/>
  <c r="E117" i="2" s="1"/>
  <c r="L281" i="1"/>
  <c r="E118" i="2" s="1"/>
  <c r="L282" i="1"/>
  <c r="L283" i="1"/>
  <c r="L284" i="1"/>
  <c r="E121" i="2" s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400" i="1" s="1"/>
  <c r="C138" i="2" s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35" i="10" s="1"/>
  <c r="G59" i="1"/>
  <c r="H59" i="1"/>
  <c r="I59" i="1"/>
  <c r="F78" i="1"/>
  <c r="C56" i="2" s="1"/>
  <c r="F93" i="1"/>
  <c r="F110" i="1"/>
  <c r="G110" i="1"/>
  <c r="G111" i="1" s="1"/>
  <c r="H78" i="1"/>
  <c r="H93" i="1"/>
  <c r="H110" i="1"/>
  <c r="H111" i="1" s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H168" i="1" s="1"/>
  <c r="I146" i="1"/>
  <c r="I161" i="1"/>
  <c r="C12" i="10"/>
  <c r="C13" i="10"/>
  <c r="C19" i="10"/>
  <c r="L249" i="1"/>
  <c r="L331" i="1"/>
  <c r="C23" i="10" s="1"/>
  <c r="L253" i="1"/>
  <c r="C25" i="10"/>
  <c r="L267" i="1"/>
  <c r="L268" i="1"/>
  <c r="L348" i="1"/>
  <c r="L349" i="1"/>
  <c r="I664" i="1"/>
  <c r="I669" i="1"/>
  <c r="L228" i="1"/>
  <c r="H660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F551" i="1" s="1"/>
  <c r="L521" i="1"/>
  <c r="F549" i="1" s="1"/>
  <c r="L522" i="1"/>
  <c r="F550" i="1" s="1"/>
  <c r="L525" i="1"/>
  <c r="G548" i="1" s="1"/>
  <c r="G551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C18" i="2" s="1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E55" i="2"/>
  <c r="F55" i="2"/>
  <c r="E56" i="2"/>
  <c r="C57" i="2"/>
  <c r="E57" i="2"/>
  <c r="C58" i="2"/>
  <c r="D58" i="2"/>
  <c r="E58" i="2"/>
  <c r="F58" i="2"/>
  <c r="D59" i="2"/>
  <c r="D61" i="2" s="1"/>
  <c r="D62" i="2" s="1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D90" i="2" s="1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G102" i="2" s="1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9" i="2"/>
  <c r="C110" i="2"/>
  <c r="E110" i="2"/>
  <c r="E111" i="2"/>
  <c r="C112" i="2"/>
  <c r="E112" i="2"/>
  <c r="C113" i="2"/>
  <c r="E113" i="2"/>
  <c r="D114" i="2"/>
  <c r="F114" i="2"/>
  <c r="G114" i="2"/>
  <c r="C118" i="2"/>
  <c r="E119" i="2"/>
  <c r="C120" i="2"/>
  <c r="E120" i="2"/>
  <c r="C121" i="2"/>
  <c r="E122" i="2"/>
  <c r="E123" i="2"/>
  <c r="E124" i="2"/>
  <c r="F127" i="2"/>
  <c r="G127" i="2"/>
  <c r="C129" i="2"/>
  <c r="E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F256" i="1" s="1"/>
  <c r="F270" i="1" s="1"/>
  <c r="G210" i="1"/>
  <c r="G256" i="1" s="1"/>
  <c r="G270" i="1" s="1"/>
  <c r="H210" i="1"/>
  <c r="I210" i="1"/>
  <c r="I256" i="1" s="1"/>
  <c r="I270" i="1" s="1"/>
  <c r="J210" i="1"/>
  <c r="J256" i="1" s="1"/>
  <c r="J270" i="1" s="1"/>
  <c r="K210" i="1"/>
  <c r="K256" i="1" s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F337" i="1" s="1"/>
  <c r="F351" i="1" s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F361" i="1"/>
  <c r="G361" i="1"/>
  <c r="H361" i="1"/>
  <c r="I361" i="1"/>
  <c r="J361" i="1"/>
  <c r="K361" i="1"/>
  <c r="I367" i="1"/>
  <c r="F368" i="1"/>
  <c r="G368" i="1"/>
  <c r="H368" i="1"/>
  <c r="I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 s="1"/>
  <c r="H445" i="1"/>
  <c r="F451" i="1"/>
  <c r="G451" i="1"/>
  <c r="H451" i="1"/>
  <c r="I451" i="1"/>
  <c r="F459" i="1"/>
  <c r="F460" i="1" s="1"/>
  <c r="H638" i="1" s="1"/>
  <c r="G459" i="1"/>
  <c r="G460" i="1" s="1"/>
  <c r="H639" i="1" s="1"/>
  <c r="H459" i="1"/>
  <c r="H460" i="1"/>
  <c r="F469" i="1"/>
  <c r="G469" i="1"/>
  <c r="G475" i="1" s="1"/>
  <c r="H622" i="1" s="1"/>
  <c r="J622" i="1" s="1"/>
  <c r="H469" i="1"/>
  <c r="I469" i="1"/>
  <c r="J469" i="1"/>
  <c r="F473" i="1"/>
  <c r="G473" i="1"/>
  <c r="H473" i="1"/>
  <c r="H475" i="1" s="1"/>
  <c r="H623" i="1" s="1"/>
  <c r="J623" i="1" s="1"/>
  <c r="I473" i="1"/>
  <c r="J473" i="1"/>
  <c r="J475" i="1" s="1"/>
  <c r="H625" i="1" s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I544" i="1" s="1"/>
  <c r="J523" i="1"/>
  <c r="K523" i="1"/>
  <c r="F528" i="1"/>
  <c r="G528" i="1"/>
  <c r="G544" i="1" s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7" i="1" s="1"/>
  <c r="G646" i="1" s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J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8" i="1"/>
  <c r="G619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J633" i="1" s="1"/>
  <c r="H634" i="1"/>
  <c r="H635" i="1"/>
  <c r="H636" i="1"/>
  <c r="H637" i="1"/>
  <c r="G638" i="1"/>
  <c r="G640" i="1"/>
  <c r="H640" i="1"/>
  <c r="G642" i="1"/>
  <c r="H642" i="1"/>
  <c r="G643" i="1"/>
  <c r="H643" i="1"/>
  <c r="G644" i="1"/>
  <c r="H644" i="1"/>
  <c r="J644" i="1" s="1"/>
  <c r="G649" i="1"/>
  <c r="G650" i="1"/>
  <c r="G651" i="1"/>
  <c r="H651" i="1"/>
  <c r="G652" i="1"/>
  <c r="H652" i="1"/>
  <c r="G653" i="1"/>
  <c r="H653" i="1"/>
  <c r="H654" i="1"/>
  <c r="J654" i="1" s="1"/>
  <c r="F191" i="1"/>
  <c r="L255" i="1"/>
  <c r="G163" i="2"/>
  <c r="G159" i="2"/>
  <c r="F31" i="2"/>
  <c r="C26" i="10"/>
  <c r="L327" i="1"/>
  <c r="L350" i="1"/>
  <c r="A31" i="12"/>
  <c r="C69" i="2"/>
  <c r="A40" i="12"/>
  <c r="D12" i="13"/>
  <c r="C12" i="13" s="1"/>
  <c r="G161" i="2"/>
  <c r="E49" i="2"/>
  <c r="D18" i="13"/>
  <c r="C18" i="13" s="1"/>
  <c r="D7" i="13"/>
  <c r="C7" i="13" s="1"/>
  <c r="F102" i="2"/>
  <c r="D18" i="2"/>
  <c r="E18" i="2"/>
  <c r="D17" i="13"/>
  <c r="C17" i="13" s="1"/>
  <c r="E8" i="13"/>
  <c r="C8" i="13" s="1"/>
  <c r="G158" i="2"/>
  <c r="C90" i="2"/>
  <c r="G80" i="2"/>
  <c r="F77" i="2"/>
  <c r="F80" i="2" s="1"/>
  <c r="F61" i="2"/>
  <c r="F62" i="2" s="1"/>
  <c r="D31" i="2"/>
  <c r="C77" i="2"/>
  <c r="D49" i="2"/>
  <c r="G156" i="2"/>
  <c r="F49" i="2"/>
  <c r="F50" i="2" s="1"/>
  <c r="F18" i="2"/>
  <c r="G162" i="2"/>
  <c r="G160" i="2"/>
  <c r="G157" i="2"/>
  <c r="G155" i="2"/>
  <c r="E143" i="2"/>
  <c r="E102" i="2"/>
  <c r="C102" i="2"/>
  <c r="F90" i="2"/>
  <c r="E61" i="2"/>
  <c r="E62" i="2" s="1"/>
  <c r="E31" i="2"/>
  <c r="G61" i="2"/>
  <c r="D29" i="13"/>
  <c r="C29" i="13" s="1"/>
  <c r="D19" i="13"/>
  <c r="C19" i="13" s="1"/>
  <c r="E13" i="13"/>
  <c r="C13" i="13" s="1"/>
  <c r="E77" i="2"/>
  <c r="E80" i="2" s="1"/>
  <c r="L426" i="1"/>
  <c r="J640" i="1"/>
  <c r="K604" i="1"/>
  <c r="G647" i="1" s="1"/>
  <c r="J570" i="1"/>
  <c r="K570" i="1"/>
  <c r="L432" i="1"/>
  <c r="L418" i="1"/>
  <c r="D80" i="2"/>
  <c r="I168" i="1"/>
  <c r="E50" i="2"/>
  <c r="J643" i="1"/>
  <c r="J642" i="1"/>
  <c r="G337" i="1"/>
  <c r="G351" i="1" s="1"/>
  <c r="F168" i="1"/>
  <c r="J139" i="1"/>
  <c r="F570" i="1"/>
  <c r="I551" i="1"/>
  <c r="K549" i="1"/>
  <c r="G22" i="2"/>
  <c r="K544" i="1"/>
  <c r="J551" i="1"/>
  <c r="H551" i="1"/>
  <c r="H139" i="1"/>
  <c r="L392" i="1"/>
  <c r="C137" i="2" s="1"/>
  <c r="F22" i="13"/>
  <c r="H25" i="13"/>
  <c r="C25" i="13" s="1"/>
  <c r="H570" i="1"/>
  <c r="L559" i="1"/>
  <c r="H337" i="1"/>
  <c r="H351" i="1" s="1"/>
  <c r="G191" i="1"/>
  <c r="H191" i="1"/>
  <c r="L308" i="1"/>
  <c r="L569" i="1"/>
  <c r="I570" i="1"/>
  <c r="G36" i="2"/>
  <c r="L564" i="1"/>
  <c r="K550" i="1"/>
  <c r="C22" i="13"/>
  <c r="H33" i="13"/>
  <c r="C49" i="2" l="1"/>
  <c r="G621" i="1"/>
  <c r="A13" i="12"/>
  <c r="J648" i="1"/>
  <c r="H544" i="1"/>
  <c r="L543" i="1"/>
  <c r="J544" i="1"/>
  <c r="L528" i="1"/>
  <c r="L523" i="1"/>
  <c r="K548" i="1"/>
  <c r="K551" i="1" s="1"/>
  <c r="J639" i="1"/>
  <c r="J638" i="1"/>
  <c r="I459" i="1"/>
  <c r="I460" i="1" s="1"/>
  <c r="H641" i="1" s="1"/>
  <c r="I445" i="1"/>
  <c r="G641" i="1" s="1"/>
  <c r="J641" i="1" s="1"/>
  <c r="C29" i="10"/>
  <c r="F129" i="2"/>
  <c r="F143" i="2" s="1"/>
  <c r="F144" i="2" s="1"/>
  <c r="L381" i="1"/>
  <c r="G635" i="1" s="1"/>
  <c r="J635" i="1" s="1"/>
  <c r="G660" i="1"/>
  <c r="I660" i="1" s="1"/>
  <c r="D126" i="2"/>
  <c r="D127" i="2" s="1"/>
  <c r="D144" i="2" s="1"/>
  <c r="K337" i="1"/>
  <c r="K351" i="1" s="1"/>
  <c r="E127" i="2"/>
  <c r="E144" i="2" s="1"/>
  <c r="C16" i="10"/>
  <c r="L289" i="1"/>
  <c r="L337" i="1" s="1"/>
  <c r="L351" i="1" s="1"/>
  <c r="G632" i="1" s="1"/>
  <c r="J632" i="1" s="1"/>
  <c r="I475" i="1"/>
  <c r="H624" i="1" s="1"/>
  <c r="J624" i="1" s="1"/>
  <c r="F475" i="1"/>
  <c r="H621" i="1" s="1"/>
  <c r="J621" i="1" s="1"/>
  <c r="H659" i="1"/>
  <c r="C11" i="10"/>
  <c r="H256" i="1"/>
  <c r="H270" i="1" s="1"/>
  <c r="C10" i="10"/>
  <c r="K270" i="1"/>
  <c r="C123" i="2"/>
  <c r="D15" i="13"/>
  <c r="C15" i="13" s="1"/>
  <c r="F661" i="1"/>
  <c r="I661" i="1" s="1"/>
  <c r="C21" i="10"/>
  <c r="J646" i="1"/>
  <c r="C122" i="2"/>
  <c r="C17" i="10"/>
  <c r="D14" i="13"/>
  <c r="C14" i="13" s="1"/>
  <c r="C117" i="2"/>
  <c r="E16" i="13"/>
  <c r="C16" i="13" s="1"/>
  <c r="C15" i="10"/>
  <c r="C109" i="2"/>
  <c r="C114" i="2" s="1"/>
  <c r="D5" i="13"/>
  <c r="C5" i="13" s="1"/>
  <c r="L210" i="1"/>
  <c r="H663" i="1"/>
  <c r="H666" i="1" s="1"/>
  <c r="C80" i="2"/>
  <c r="C61" i="2"/>
  <c r="F111" i="1"/>
  <c r="C36" i="10" s="1"/>
  <c r="C55" i="2"/>
  <c r="C62" i="2"/>
  <c r="C31" i="2"/>
  <c r="C50" i="2" s="1"/>
  <c r="J616" i="1"/>
  <c r="C24" i="10"/>
  <c r="G659" i="1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E103" i="2" s="1"/>
  <c r="L407" i="1"/>
  <c r="G636" i="1" s="1"/>
  <c r="J636" i="1" s="1"/>
  <c r="D50" i="2"/>
  <c r="J653" i="1"/>
  <c r="J652" i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G62" i="2"/>
  <c r="G103" i="2" s="1"/>
  <c r="J617" i="1"/>
  <c r="G42" i="2"/>
  <c r="J50" i="1"/>
  <c r="G16" i="2"/>
  <c r="J19" i="1"/>
  <c r="G620" i="1" s="1"/>
  <c r="G18" i="2"/>
  <c r="F544" i="1"/>
  <c r="H433" i="1"/>
  <c r="J619" i="1"/>
  <c r="J618" i="1"/>
  <c r="D102" i="2"/>
  <c r="D103" i="2" s="1"/>
  <c r="I139" i="1"/>
  <c r="A22" i="12"/>
  <c r="G49" i="2"/>
  <c r="G50" i="2" s="1"/>
  <c r="H647" i="1"/>
  <c r="J647" i="1" s="1"/>
  <c r="C103" i="2"/>
  <c r="J651" i="1"/>
  <c r="G570" i="1"/>
  <c r="I433" i="1"/>
  <c r="G433" i="1"/>
  <c r="I662" i="1"/>
  <c r="C27" i="10"/>
  <c r="G634" i="1"/>
  <c r="J634" i="1" s="1"/>
  <c r="L544" i="1" l="1"/>
  <c r="H645" i="1"/>
  <c r="J645" i="1" s="1"/>
  <c r="G663" i="1"/>
  <c r="G671" i="1" s="1"/>
  <c r="C5" i="10" s="1"/>
  <c r="D31" i="13"/>
  <c r="C31" i="13" s="1"/>
  <c r="F659" i="1"/>
  <c r="F663" i="1" s="1"/>
  <c r="H671" i="1"/>
  <c r="C6" i="10" s="1"/>
  <c r="C127" i="2"/>
  <c r="C144" i="2" s="1"/>
  <c r="C28" i="10"/>
  <c r="D22" i="10" s="1"/>
  <c r="E33" i="13"/>
  <c r="D35" i="13" s="1"/>
  <c r="L256" i="1"/>
  <c r="L270" i="1" s="1"/>
  <c r="G631" i="1" s="1"/>
  <c r="J631" i="1" s="1"/>
  <c r="I192" i="1"/>
  <c r="G629" i="1" s="1"/>
  <c r="J629" i="1" s="1"/>
  <c r="G630" i="1"/>
  <c r="J630" i="1" s="1"/>
  <c r="G192" i="1"/>
  <c r="G627" i="1" s="1"/>
  <c r="J627" i="1" s="1"/>
  <c r="G625" i="1"/>
  <c r="J625" i="1" s="1"/>
  <c r="J51" i="1"/>
  <c r="H620" i="1" s="1"/>
  <c r="J620" i="1" s="1"/>
  <c r="C38" i="10"/>
  <c r="G666" i="1" l="1"/>
  <c r="D33" i="13"/>
  <c r="D36" i="13" s="1"/>
  <c r="I659" i="1"/>
  <c r="I663" i="1" s="1"/>
  <c r="I671" i="1" s="1"/>
  <c r="C7" i="10" s="1"/>
  <c r="D24" i="10"/>
  <c r="D20" i="10"/>
  <c r="D15" i="10"/>
  <c r="D17" i="10"/>
  <c r="D10" i="10"/>
  <c r="D12" i="10"/>
  <c r="D26" i="10"/>
  <c r="D16" i="10"/>
  <c r="D13" i="10"/>
  <c r="D25" i="10"/>
  <c r="D23" i="10"/>
  <c r="D27" i="10"/>
  <c r="D18" i="10"/>
  <c r="C30" i="10"/>
  <c r="D19" i="10"/>
  <c r="D11" i="10"/>
  <c r="D21" i="10"/>
  <c r="F671" i="1"/>
  <c r="C4" i="10" s="1"/>
  <c r="F666" i="1"/>
  <c r="H655" i="1"/>
  <c r="C41" i="10"/>
  <c r="D38" i="10" s="1"/>
  <c r="I666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<sst xmlns="http://schemas.openxmlformats.org/spreadsheetml/2006/main" count="3944" uniqueCount="910">
  <si>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</si>
  <si>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</si>
  <si>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</si>
  <si>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</si>
  <si>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</si>
  <si>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</si>
  <si>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</si>
  <si>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</si>
  <si>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</si>
  <si>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</si>
  <si>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</si>
  <si>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</si>
  <si>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</si>
  <si>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</si>
  <si>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</si>
  <si>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</si>
  <si>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</si>
  <si>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</si>
  <si>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</si>
  <si>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</si>
  <si>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</si>
  <si>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</si>
  <si>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</si>
  <si>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</si>
  <si>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</si>
  <si>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</si>
  <si>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</si>
  <si>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</si>
  <si>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</si>
  <si>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</si>
  <si>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</si>
  <si>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</si>
  <si>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</si>
  <si>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</si>
  <si>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</si>
  <si>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</si>
  <si>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</si>
  <si>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</si>
  <si>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</si>
  <si>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</si>
  <si>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</si>
  <si>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</si>
  <si>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</si>
  <si>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</si>
  <si>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</si>
  <si>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</si>
  <si>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</si>
  <si>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</si>
  <si>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</si>
  <si>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</si>
  <si>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</si>
  <si>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</si>
  <si>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</si>
  <si>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</si>
  <si>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</si>
  <si>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</si>
  <si>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</si>
  <si>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</si>
  <si>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</si>
  <si>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</si>
  <si>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</si>
  <si>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</si>
  <si>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</si>
  <si>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</si>
  <si>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</si>
  <si>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</si>
  <si>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</si>
  <si>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</si>
  <si>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</si>
  <si>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</si>
  <si>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</si>
  <si>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</si>
  <si>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</si>
  <si>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</si>
  <si>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</si>
  <si>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</si>
  <si>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</si>
  <si>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</si>
  <si>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</si>
  <si>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</si>
  <si>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</si>
  <si>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</si>
  <si>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</si>
  <si>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</si>
  <si>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</si>
  <si>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</si>
  <si>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</si>
  <si>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</si>
  <si>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</si>
  <si>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</si>
  <si>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</si>
  <si>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</si>
  <si>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</si>
  <si>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</si>
  <si>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</si>
  <si>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</si>
  <si>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</si>
  <si>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</si>
  <si>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</si>
  <si>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</si>
  <si>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</si>
  <si>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</si>
  <si>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</si>
  <si>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</si>
  <si>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</si>
  <si>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</si>
  <si>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</si>
  <si>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</si>
  <si>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</si>
  <si>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</si>
  <si>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</si>
  <si>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</si>
  <si>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</si>
  <si>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</si>
  <si>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</si>
  <si>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</si>
  <si>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</si>
  <si>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</si>
  <si>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</si>
  <si>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</si>
  <si>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</si>
  <si>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</si>
  <si>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</si>
  <si>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</si>
  <si>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</si>
  <si>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</si>
  <si>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</si>
  <si>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</si>
  <si>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</si>
  <si>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</si>
  <si>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</si>
  <si>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</si>
  <si>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</si>
  <si>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</si>
  <si>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</si>
  <si>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</si>
  <si>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</si>
  <si>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</si>
  <si>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</si>
  <si>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</si>
  <si>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</si>
  <si>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</si>
  <si>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</si>
  <si>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</si>
  <si>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</si>
  <si>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</si>
  <si>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</si>
  <si>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</si>
  <si>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</si>
  <si>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</si>
  <si>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</si>
  <si>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</si>
  <si>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</si>
  <si>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</si>
  <si>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</si>
  <si>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</si>
  <si>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</si>
  <si>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</si>
  <si>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</si>
  <si>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</si>
  <si>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</si>
  <si>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</si>
  <si>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</si>
  <si>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</si>
  <si>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</si>
  <si>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</si>
  <si>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</si>
  <si>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</si>
  <si>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</si>
  <si>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</si>
  <si>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</si>
  <si>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</si>
  <si>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</si>
  <si>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</si>
  <si>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</si>
  <si>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</si>
  <si>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</si>
  <si>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</si>
  <si>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</si>
  <si>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</si>
  <si>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</si>
  <si>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</si>
  <si>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</si>
  <si>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</si>
  <si>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</si>
  <si>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</si>
  <si>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</si>
  <si>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</si>
  <si>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</si>
  <si>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</si>
  <si>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</si>
  <si>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</si>
  <si>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</si>
  <si>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</si>
  <si>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</si>
  <si>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</si>
  <si>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</si>
  <si>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</si>
  <si>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</si>
  <si>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</si>
  <si>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</si>
  <si>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</si>
  <si>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</si>
  <si>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</si>
  <si>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</si>
  <si>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</si>
  <si>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</si>
  <si>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</si>
  <si>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</si>
  <si>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</si>
  <si>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</si>
  <si>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</si>
  <si>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</si>
  <si>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</si>
  <si>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</si>
  <si>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</si>
  <si>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</si>
  <si>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</si>
  <si>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</si>
  <si>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</si>
  <si>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</si>
  <si>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</si>
  <si>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</si>
  <si>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</si>
  <si>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</si>
  <si>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</si>
  <si>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</si>
  <si>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</si>
  <si>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</si>
  <si>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</si>
  <si>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</si>
  <si>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</si>
  <si>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</si>
  <si>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</si>
  <si>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</si>
  <si>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</si>
  <si>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</si>
  <si>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</si>
  <si>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</si>
  <si>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</si>
  <si>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</si>
  <si>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</si>
  <si>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</si>
  <si>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</si>
  <si>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</si>
  <si>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</si>
  <si>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</si>
  <si>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</si>
  <si>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</si>
  <si>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</si>
  <si>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</si>
  <si>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</si>
  <si>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</si>
  <si>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</si>
  <si>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</si>
  <si>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</si>
  <si>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</si>
  <si>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</si>
  <si>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</si>
  <si>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</si>
  <si>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</si>
  <si>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</si>
  <si>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</si>
  <si>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</si>
  <si>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</si>
  <si>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</si>
  <si>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</si>
  <si>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</si>
  <si>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</si>
  <si>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</si>
  <si>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</si>
  <si>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</si>
  <si>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</si>
  <si>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</si>
  <si>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</si>
  <si>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</si>
  <si>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</si>
  <si>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</si>
  <si>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</si>
  <si>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</si>
  <si>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</si>
  <si>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</si>
  <si>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</si>
  <si>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</si>
  <si>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</si>
  <si>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</si>
  <si>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</si>
  <si>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</si>
  <si>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</si>
  <si>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</si>
  <si>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</si>
  <si>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</si>
  <si>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</si>
  <si>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</si>
  <si>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</si>
  <si>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</si>
  <si>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</si>
  <si>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</si>
  <si>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</si>
  <si>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</si>
  <si>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</si>
  <si>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</si>
  <si>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</si>
  <si>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</si>
  <si>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</si>
  <si>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</si>
  <si>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</si>
  <si>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</si>
  <si>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</si>
  <si>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</si>
  <si>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</si>
  <si>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</si>
  <si>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</si>
  <si>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</si>
  <si>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</si>
  <si>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</si>
  <si>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</si>
  <si>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</si>
  <si>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</si>
  <si>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</si>
  <si>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</si>
  <si>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</si>
  <si>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</si>
  <si>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</si>
  <si>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</si>
  <si>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</si>
  <si>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</si>
  <si>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</si>
  <si>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</si>
  <si>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</si>
  <si>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</si>
  <si>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</si>
  <si>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</si>
  <si>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</si>
  <si>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</si>
  <si>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</si>
  <si>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</si>
  <si>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</si>
  <si>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</si>
  <si>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</si>
  <si>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</si>
  <si>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</si>
  <si>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</si>
  <si>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</si>
  <si>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</si>
  <si>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</si>
  <si>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</si>
  <si>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</si>
  <si>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</si>
  <si>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</si>
  <si>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</si>
  <si>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</si>
  <si>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</si>
  <si>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</si>
  <si>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</si>
  <si>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</si>
  <si>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</si>
  <si>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</si>
  <si>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</si>
  <si>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</si>
  <si>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</si>
  <si>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</si>
  <si>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</si>
  <si>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</si>
  <si>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</si>
  <si>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</si>
  <si>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</si>
  <si>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</si>
  <si>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</si>
  <si>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</si>
  <si>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</si>
  <si>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</si>
  <si>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</si>
  <si>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</si>
  <si>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</si>
  <si>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</si>
  <si>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</si>
  <si>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</si>
  <si>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</si>
  <si>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</si>
  <si>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</si>
  <si>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</si>
  <si>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</si>
  <si>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</si>
  <si>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</si>
  <si>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</si>
  <si>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</si>
  <si>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</si>
  <si>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</si>
  <si>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</si>
  <si>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</si>
  <si>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</si>
  <si>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</si>
  <si>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</si>
  <si>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</si>
  <si>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</si>
  <si>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</si>
  <si>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</si>
  <si>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</si>
  <si>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</si>
  <si>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</si>
  <si>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</si>
  <si>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</si>
  <si>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</si>
  <si>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</si>
  <si>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</si>
  <si>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</si>
  <si>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</si>
  <si>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</si>
  <si>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</si>
  <si>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</si>
  <si>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</si>
  <si>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</si>
  <si>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</si>
  <si>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</si>
  <si>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</si>
  <si>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</si>
  <si>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</si>
  <si>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</si>
  <si>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</si>
  <si>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</si>
  <si>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</si>
  <si>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</si>
  <si>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</si>
  <si>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</si>
  <si>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</si>
  <si>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</si>
  <si>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</si>
  <si>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</si>
  <si>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</si>
  <si>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</si>
  <si>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</si>
  <si>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</si>
  <si>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</si>
  <si>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</si>
  <si>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</si>
  <si>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</si>
  <si>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</si>
  <si>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</si>
  <si>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</si>
  <si>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</si>
  <si>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</si>
  <si>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</si>
  <si>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</si>
  <si>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</si>
  <si>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</si>
  <si>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</si>
  <si>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</si>
  <si>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</si>
  <si>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</si>
  <si>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</si>
  <si>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</si>
  <si>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</si>
  <si>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</si>
  <si>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</si>
  <si>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</si>
  <si>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</si>
  <si>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</si>
  <si>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</si>
  <si>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</si>
  <si>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</si>
  <si>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</si>
  <si>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</si>
  <si>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</si>
  <si>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</si>
  <si>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</si>
  <si>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</si>
  <si>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</si>
  <si>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</si>
  <si>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</si>
  <si>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</si>
  <si>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</si>
  <si>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</si>
  <si>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</si>
  <si>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</si>
  <si>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</si>
  <si>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</si>
  <si>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</si>
  <si>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</si>
  <si>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</si>
  <si>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</si>
  <si>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</si>
  <si>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</si>
  <si>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</si>
  <si>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</si>
  <si>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</si>
  <si>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</si>
  <si>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</si>
  <si>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</si>
  <si>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</si>
  <si>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</si>
  <si>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</si>
  <si>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</si>
  <si>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</si>
  <si>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</si>
  <si>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</si>
  <si>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</si>
  <si>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</si>
  <si>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</si>
  <si>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</si>
  <si>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</si>
  <si>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</si>
  <si>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</si>
  <si>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</si>
  <si>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</si>
  <si>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</si>
  <si>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</si>
  <si>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</si>
  <si>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</si>
  <si>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</si>
  <si>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</si>
  <si>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</si>
  <si>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</si>
  <si>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</si>
  <si>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</si>
  <si>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</si>
  <si>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</si>
  <si>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</si>
  <si>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</si>
  <si>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</si>
  <si>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</si>
  <si>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</si>
  <si>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</si>
  <si>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</si>
  <si>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</si>
  <si>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</si>
  <si>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</si>
  <si>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</si>
  <si>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</si>
  <si>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</si>
  <si>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</si>
  <si>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</si>
  <si>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</si>
  <si>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</si>
  <si>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</si>
  <si>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</si>
  <si>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</si>
  <si>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</si>
  <si>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</si>
  <si>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</si>
  <si>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</si>
  <si>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</si>
  <si>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</si>
  <si>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</si>
  <si>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</si>
  <si>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</si>
  <si>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</si>
  <si>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</si>
  <si>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</si>
  <si>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</si>
  <si>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</si>
  <si>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</si>
  <si>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</si>
  <si>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</si>
  <si>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</si>
  <si>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</si>
  <si>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</si>
  <si>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</si>
  <si>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</si>
  <si>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</si>
  <si>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</si>
  <si>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</si>
  <si>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</si>
  <si>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</si>
  <si>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</si>
  <si>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</si>
  <si>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</si>
  <si>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</si>
  <si>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</si>
  <si>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</si>
  <si>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</si>
  <si>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</si>
  <si>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</si>
  <si>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</si>
  <si>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</si>
  <si>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</si>
  <si>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</si>
  <si>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</si>
  <si>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</si>
  <si>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</si>
  <si>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</si>
  <si>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</si>
  <si>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</si>
  <si>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</si>
  <si>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</si>
  <si>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</si>
  <si>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</si>
  <si>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</si>
  <si>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</si>
  <si>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</si>
  <si>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</si>
  <si>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</si>
  <si>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</si>
  <si>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</si>
  <si>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</si>
  <si>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</si>
  <si>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</si>
  <si>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</si>
  <si>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</si>
  <si>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</si>
  <si>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</si>
  <si>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</si>
  <si>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</si>
  <si>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</si>
  <si>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</si>
  <si>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</si>
  <si>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</si>
  <si>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</si>
  <si>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</si>
  <si>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</si>
  <si>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</si>
  <si>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</si>
  <si>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</si>
  <si>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</si>
  <si>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</si>
  <si>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</si>
  <si>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</si>
  <si>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</si>
  <si>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</si>
  <si>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</si>
  <si>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</si>
  <si>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</si>
  <si>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</si>
  <si>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</si>
  <si>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</si>
  <si>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</si>
  <si>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</si>
  <si>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</si>
  <si>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</si>
  <si>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</si>
  <si>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</si>
  <si>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</si>
  <si>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</si>
  <si>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</si>
  <si>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</si>
  <si>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</si>
  <si>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</si>
  <si>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</si>
  <si>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</si>
  <si>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</si>
  <si>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</si>
  <si>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</si>
  <si>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</si>
  <si>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</si>
  <si>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</si>
  <si>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</si>
  <si>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</si>
  <si>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</si>
  <si>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</si>
  <si>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</si>
  <si>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</si>
  <si>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</si>
  <si>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</si>
  <si>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</si>
  <si>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</si>
  <si>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</si>
  <si>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</si>
  <si>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</si>
  <si>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</si>
  <si>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</si>
  <si>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</si>
  <si>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</si>
  <si>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</si>
  <si>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</si>
  <si>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</si>
  <si>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</si>
  <si>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</si>
  <si>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</si>
  <si>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</si>
  <si>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</si>
  <si>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</si>
  <si>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</si>
  <si>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</si>
  <si>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</si>
  <si>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</si>
  <si>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</si>
  <si>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</si>
  <si>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</si>
  <si>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</si>
  <si>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</si>
  <si>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</si>
  <si>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</si>
  <si>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</si>
  <si>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</si>
  <si>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</si>
  <si>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</si>
  <si>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</si>
  <si>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</si>
  <si>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</si>
  <si>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</si>
  <si>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</si>
  <si>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</si>
  <si>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</si>
  <si>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</si>
  <si>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</si>
  <si>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</si>
  <si>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</si>
  <si>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</si>
  <si>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</si>
  <si>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</si>
  <si>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</si>
  <si>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</si>
  <si>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</si>
  <si>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</si>
  <si>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</si>
  <si>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</si>
  <si>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</si>
  <si>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</si>
  <si>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</si>
  <si>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</si>
  <si>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</si>
  <si>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</si>
  <si>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</si>
  <si>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</si>
  <si>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</si>
  <si>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</si>
  <si>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</si>
  <si>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</si>
  <si>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</si>
  <si>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</si>
  <si>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</si>
  <si>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</si>
  <si>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</si>
  <si>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</si>
  <si>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</si>
  <si>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</si>
  <si>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</si>
  <si>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</si>
  <si>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</si>
  <si>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</si>
  <si>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</si>
  <si>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</si>
  <si>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</si>
  <si>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</si>
  <si>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</si>
  <si>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</si>
  <si>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</si>
  <si>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</si>
  <si>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</si>
  <si>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</si>
  <si>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</si>
  <si>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</si>
  <si>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</si>
  <si>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</si>
  <si>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</si>
  <si>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</si>
  <si>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</si>
  <si>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</si>
  <si>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</si>
  <si>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</si>
  <si>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</si>
  <si>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</si>
  <si>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</si>
  <si>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</si>
  <si>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</si>
  <si>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</si>
  <si>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</si>
  <si>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</si>
  <si>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</si>
  <si>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</si>
  <si>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</si>
  <si>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</si>
  <si>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</si>
  <si>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</si>
  <si>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</si>
  <si>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</si>
  <si>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</si>
  <si>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</si>
  <si>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</si>
  <si>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</si>
  <si>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</si>
  <si>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</si>
  <si>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</si>
  <si>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</si>
  <si>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</si>
  <si>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</si>
  <si>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</si>
  <si>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</si>
  <si>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</si>
  <si>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</si>
  <si>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</si>
  <si>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</si>
  <si>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</si>
  <si>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</si>
  <si>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</si>
  <si>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</si>
  <si>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</si>
  <si>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</si>
  <si>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</si>
  <si>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</si>
  <si>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</si>
  <si>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</si>
  <si>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</si>
  <si>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</si>
  <si>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</si>
  <si>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</si>
  <si>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</si>
  <si>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</si>
  <si>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</si>
  <si>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</si>
  <si>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</si>
  <si>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</si>
  <si>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</si>
  <si>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</si>
  <si>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</si>
  <si>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</si>
  <si>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</si>
  <si>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</si>
  <si>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</si>
  <si>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</si>
  <si>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</si>
  <si>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</si>
  <si>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</si>
  <si>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</si>
  <si>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</si>
  <si>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</si>
  <si>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</si>
  <si>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</si>
  <si>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</si>
  <si>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</si>
  <si>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</si>
  <si>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</si>
  <si>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</si>
  <si>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</si>
  <si>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</si>
  <si>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</si>
  <si>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</si>
  <si>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</si>
  <si>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</si>
  <si>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</si>
  <si>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</si>
  <si>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</si>
  <si>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</si>
  <si>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</si>
  <si>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</si>
  <si>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</si>
  <si>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</si>
  <si>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</si>
  <si>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</si>
  <si>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</si>
  <si>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</si>
  <si>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</si>
  <si>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</si>
  <si>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</si>
  <si>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</si>
  <si>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</si>
  <si>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</si>
  <si>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</si>
  <si>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</si>
  <si>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</si>
  <si>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</si>
  <si>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</si>
  <si>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</si>
  <si>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</si>
  <si>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</si>
  <si>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</si>
  <si>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</si>
  <si>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</si>
  <si>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</si>
  <si>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</si>
  <si>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</si>
  <si>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</si>
  <si>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</si>
  <si>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</si>
  <si>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</si>
  <si>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</si>
  <si>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</si>
  <si>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</si>
  <si>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</si>
  <si>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</si>
  <si>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</si>
  <si>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</si>
  <si>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</si>
  <si>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</si>
  <si>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</si>
  <si>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</si>
  <si>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</si>
  <si>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</si>
  <si>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</si>
  <si>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</si>
  <si>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</si>
  <si>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</si>
  <si>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</si>
  <si>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</si>
  <si>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</si>
  <si>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</si>
  <si>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</si>
  <si>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</si>
  <si>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</si>
  <si>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</si>
  <si>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</si>
  <si>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</si>
  <si>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</si>
  <si>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</si>
  <si>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</si>
  <si>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</si>
  <si>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</si>
  <si>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</si>
  <si>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</si>
  <si>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</si>
  <si>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</si>
  <si>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</si>
  <si>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</si>
  <si>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</si>
  <si>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</si>
  <si>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</si>
  <si>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</si>
  <si>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</si>
  <si>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</si>
  <si>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Chesterfield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</si>
</sst>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zoomScaleNormal="75" workbookViewId="0">
      <pane xSplit="5" ySplit="3" topLeftCell="F620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95</v>
      </c>
      <c r="C2" s="21">
        <v>95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279925.64+2000-115662.04</f>
        <v>166263.60000000003</v>
      </c>
      <c r="G9" s="18"/>
      <c r="H9" s="18">
        <v>382.81</v>
      </c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0.5</v>
      </c>
      <c r="G10" s="18"/>
      <c r="H10" s="18"/>
      <c r="I10" s="18"/>
      <c r="J10" s="67">
        <f>SUM(I439)</f>
        <v>277927.21999999997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4752.87+91355.02</f>
        <v>96107.89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10947.86</v>
      </c>
      <c r="G13" s="18">
        <v>8225.99</v>
      </c>
      <c r="H13" s="18">
        <v>92601.88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2476.46</v>
      </c>
      <c r="G14" s="18">
        <v>1082.99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275796.31000000006</v>
      </c>
      <c r="G19" s="41">
        <f>SUM(G9:G18)</f>
        <v>9308.98</v>
      </c>
      <c r="H19" s="41">
        <f>SUM(H9:H18)</f>
        <v>92984.69</v>
      </c>
      <c r="I19" s="41">
        <f>SUM(I9:I18)</f>
        <v>0</v>
      </c>
      <c r="J19" s="41">
        <f>SUM(J9:J18)</f>
        <v>277927.21999999997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4752.87</v>
      </c>
      <c r="H22" s="18">
        <v>91355.02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2621.96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19139.650000000001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32585.599999999999</v>
      </c>
      <c r="G28" s="18">
        <v>1631.54</v>
      </c>
      <c r="H28" s="18">
        <v>1246.8599999999999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2924.57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54347.21</v>
      </c>
      <c r="G32" s="41">
        <f>SUM(G22:G31)</f>
        <v>9308.98</v>
      </c>
      <c r="H32" s="41">
        <f>SUM(H22:H31)</f>
        <v>92601.88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>
        <v>382.81</v>
      </c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4278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277927.21999999997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192171.1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221449.1</v>
      </c>
      <c r="G50" s="41">
        <f>SUM(G35:G49)</f>
        <v>0</v>
      </c>
      <c r="H50" s="41">
        <f>SUM(H35:H49)</f>
        <v>382.81</v>
      </c>
      <c r="I50" s="41">
        <f>SUM(I35:I49)</f>
        <v>0</v>
      </c>
      <c r="J50" s="41">
        <f>SUM(J35:J49)</f>
        <v>277927.21999999997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275796.31</v>
      </c>
      <c r="G51" s="41">
        <f>G50+G32</f>
        <v>9308.98</v>
      </c>
      <c r="H51" s="41">
        <f>H50+H32</f>
        <v>92984.69</v>
      </c>
      <c r="I51" s="41">
        <f>I50+I32</f>
        <v>0</v>
      </c>
      <c r="J51" s="41">
        <f>J50+J32</f>
        <v>277927.21999999997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4599565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4599565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310</v>
      </c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310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700.53</v>
      </c>
      <c r="G95" s="18"/>
      <c r="H95" s="18"/>
      <c r="I95" s="18"/>
      <c r="J95" s="18">
        <f>2186.35+655.41</f>
        <v>2841.7599999999998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54278.59+8708.6+5474.7+6096.2+244</f>
        <v>74802.09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175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2217.2199999999998</v>
      </c>
      <c r="G101" s="18"/>
      <c r="H101" s="18">
        <v>7665.56</v>
      </c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54298.16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20610.87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11275.11+4158.11</f>
        <v>15433.220000000001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93435</v>
      </c>
      <c r="G110" s="41">
        <f>SUM(G95:G109)</f>
        <v>74802.09</v>
      </c>
      <c r="H110" s="41">
        <f>SUM(H95:H109)</f>
        <v>7665.56</v>
      </c>
      <c r="I110" s="41">
        <f>SUM(I95:I109)</f>
        <v>0</v>
      </c>
      <c r="J110" s="41">
        <f>SUM(J95:J109)</f>
        <v>2841.7599999999998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4693310</v>
      </c>
      <c r="G111" s="41">
        <f>G59+G110</f>
        <v>74802.09</v>
      </c>
      <c r="H111" s="41">
        <f>H59+H78+H93+H110</f>
        <v>7665.56</v>
      </c>
      <c r="I111" s="41">
        <f>I59+I110</f>
        <v>0</v>
      </c>
      <c r="J111" s="41">
        <f>J59+J110</f>
        <v>2841.7599999999998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1143053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1333811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2476864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158136.37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1332.31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158136.37</v>
      </c>
      <c r="G135" s="41">
        <f>SUM(G122:G134)</f>
        <v>1332.31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2635000.37</v>
      </c>
      <c r="G139" s="41">
        <f>G120+SUM(G135:G136)</f>
        <v>1332.31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f>8.07+72.51+6984.2+1062.17</f>
        <v>8126.95</v>
      </c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27.12+36260.42</f>
        <v>36287.54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7261.3+13679.71+5225</f>
        <v>26166.01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31447.53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3801.59+112173.89+3269.38</f>
        <v>119244.86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55378.18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55378.18</v>
      </c>
      <c r="G161" s="41">
        <f>SUM(G149:G160)</f>
        <v>31447.53</v>
      </c>
      <c r="H161" s="41">
        <f>SUM(H149:H160)</f>
        <v>189825.36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55378.18</v>
      </c>
      <c r="G168" s="41">
        <f>G146+G161+SUM(G162:G167)</f>
        <v>31447.53</v>
      </c>
      <c r="H168" s="41">
        <f>H146+H161+SUM(H162:H167)</f>
        <v>189825.36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198.56</v>
      </c>
      <c r="H178" s="18"/>
      <c r="I178" s="18"/>
      <c r="J178" s="18">
        <v>75000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198.56</v>
      </c>
      <c r="H182" s="41">
        <f>SUM(H178:H181)</f>
        <v>0</v>
      </c>
      <c r="I182" s="41">
        <f>SUM(I178:I181)</f>
        <v>0</v>
      </c>
      <c r="J182" s="41">
        <f>SUM(J178:J181)</f>
        <v>75000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>
        <v>170868.45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170868.45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198.56</v>
      </c>
      <c r="H191" s="41">
        <f>+H182+SUM(H187:H190)</f>
        <v>0</v>
      </c>
      <c r="I191" s="41">
        <f>I176+I182+SUM(I187:I190)</f>
        <v>170868.45</v>
      </c>
      <c r="J191" s="41">
        <f>J182</f>
        <v>75000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7383688.5499999998</v>
      </c>
      <c r="G192" s="47">
        <f>G111+G139+G168+G191</f>
        <v>107780.48999999999</v>
      </c>
      <c r="H192" s="47">
        <f>H111+H139+H168+H191</f>
        <v>197490.91999999998</v>
      </c>
      <c r="I192" s="47">
        <f>I111+I139+I168+I191</f>
        <v>170868.45</v>
      </c>
      <c r="J192" s="47">
        <f>J111+J139+J191</f>
        <v>77841.759999999995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1468469.25</v>
      </c>
      <c r="G196" s="18">
        <v>595385.32999999996</v>
      </c>
      <c r="H196" s="18">
        <v>446.5</v>
      </c>
      <c r="I196" s="18">
        <v>28425.84</v>
      </c>
      <c r="J196" s="18">
        <v>5211.1400000000003</v>
      </c>
      <c r="K196" s="18"/>
      <c r="L196" s="19">
        <f>SUM(F196:K196)</f>
        <v>2097938.06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478903.98</v>
      </c>
      <c r="G197" s="18">
        <v>301126.73</v>
      </c>
      <c r="H197" s="18">
        <v>195248.14</v>
      </c>
      <c r="I197" s="18">
        <v>586.58000000000004</v>
      </c>
      <c r="J197" s="18">
        <v>626.28</v>
      </c>
      <c r="K197" s="18"/>
      <c r="L197" s="19">
        <f>SUM(F197:K197)</f>
        <v>976491.71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12989.99+7860</f>
        <v>20849.989999999998</v>
      </c>
      <c r="G199" s="18">
        <f>1616.65+794.99</f>
        <v>2411.6400000000003</v>
      </c>
      <c r="H199" s="18">
        <v>6446.7</v>
      </c>
      <c r="I199" s="18">
        <f>1873.21+388.6</f>
        <v>2261.81</v>
      </c>
      <c r="J199" s="18">
        <v>679.83</v>
      </c>
      <c r="K199" s="18">
        <v>7447.2</v>
      </c>
      <c r="L199" s="19">
        <f>SUM(F199:K199)</f>
        <v>40097.17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49949.9+48209.29+73114.43+50703.9+62631.92</f>
        <v>284609.44</v>
      </c>
      <c r="G201" s="18">
        <f>27356.76+12477.48+27635.3+14092.08+19673.54</f>
        <v>101235.16</v>
      </c>
      <c r="H201" s="18">
        <f>4252.64+2541.5+10185.53+4980.78+1066.33</f>
        <v>23026.78</v>
      </c>
      <c r="I201" s="18">
        <f>131.93+946.47+623.32+457.03+71.16</f>
        <v>2229.91</v>
      </c>
      <c r="J201" s="18">
        <f>67.6+2020.42+988.45</f>
        <v>3076.4700000000003</v>
      </c>
      <c r="K201" s="18"/>
      <c r="L201" s="19">
        <f t="shared" ref="L201:L207" si="0">SUM(F201:K201)</f>
        <v>414177.75999999995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12085+50800.1</f>
        <v>62885.1</v>
      </c>
      <c r="G202" s="18">
        <f>2275.98+11995+23253.32</f>
        <v>37524.300000000003</v>
      </c>
      <c r="H202" s="18">
        <f>14645.91+1496.41</f>
        <v>16142.32</v>
      </c>
      <c r="I202" s="18">
        <f>2585.61+9491.86</f>
        <v>12077.470000000001</v>
      </c>
      <c r="J202" s="18"/>
      <c r="K202" s="18">
        <v>204.95</v>
      </c>
      <c r="L202" s="19">
        <f t="shared" si="0"/>
        <v>128834.14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4634.65+3277</f>
        <v>7911.65</v>
      </c>
      <c r="G203" s="18">
        <f>370.61+262.16</f>
        <v>632.77</v>
      </c>
      <c r="H203" s="18">
        <f>259.27+150+8125+10257.31+150+447315</f>
        <v>466256.58</v>
      </c>
      <c r="I203" s="18">
        <v>836.01</v>
      </c>
      <c r="J203" s="18"/>
      <c r="K203" s="18">
        <v>3820.99</v>
      </c>
      <c r="L203" s="19">
        <f t="shared" si="0"/>
        <v>479458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144185.19</v>
      </c>
      <c r="G204" s="18">
        <v>57964.05</v>
      </c>
      <c r="H204" s="18">
        <v>15295.08</v>
      </c>
      <c r="I204" s="18">
        <f>472.06+1125.51</f>
        <v>1597.57</v>
      </c>
      <c r="J204" s="18"/>
      <c r="K204" s="18">
        <v>720</v>
      </c>
      <c r="L204" s="19">
        <f t="shared" si="0"/>
        <v>219761.88999999998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117486.9</v>
      </c>
      <c r="G206" s="18">
        <v>53966.39</v>
      </c>
      <c r="H206" s="18">
        <v>76461.58</v>
      </c>
      <c r="I206" s="18">
        <v>109962.59</v>
      </c>
      <c r="J206" s="18">
        <v>615.73</v>
      </c>
      <c r="K206" s="18"/>
      <c r="L206" s="19">
        <f t="shared" si="0"/>
        <v>358493.18999999994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217841.17+42484.18+5805.21+1970</f>
        <v>268100.56</v>
      </c>
      <c r="I207" s="18"/>
      <c r="J207" s="18"/>
      <c r="K207" s="18"/>
      <c r="L207" s="19">
        <f t="shared" si="0"/>
        <v>268100.56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1500</v>
      </c>
      <c r="G208" s="18">
        <f>5363.67+289.52</f>
        <v>5653.1900000000005</v>
      </c>
      <c r="H208" s="18">
        <f>1230.5+6985.02</f>
        <v>8215.52</v>
      </c>
      <c r="I208" s="18">
        <v>7806.57</v>
      </c>
      <c r="J208" s="18">
        <v>23777.5</v>
      </c>
      <c r="K208" s="18"/>
      <c r="L208" s="19">
        <f>SUM(F208:K208)</f>
        <v>46952.78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2586801.5</v>
      </c>
      <c r="G210" s="41">
        <f t="shared" si="1"/>
        <v>1155899.5599999998</v>
      </c>
      <c r="H210" s="41">
        <f t="shared" si="1"/>
        <v>1075639.76</v>
      </c>
      <c r="I210" s="41">
        <f t="shared" si="1"/>
        <v>165784.35</v>
      </c>
      <c r="J210" s="41">
        <f t="shared" si="1"/>
        <v>33986.949999999997</v>
      </c>
      <c r="K210" s="41">
        <f t="shared" si="1"/>
        <v>12193.14</v>
      </c>
      <c r="L210" s="41">
        <f t="shared" si="1"/>
        <v>5030305.26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1611305.37</v>
      </c>
      <c r="I232" s="18"/>
      <c r="J232" s="18"/>
      <c r="K232" s="18"/>
      <c r="L232" s="19">
        <f>SUM(F232:K232)</f>
        <v>1611305.37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647151.61</v>
      </c>
      <c r="I233" s="18"/>
      <c r="J233" s="18"/>
      <c r="K233" s="18"/>
      <c r="L233" s="19">
        <f>SUM(F233:K233)</f>
        <v>647151.61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124277.43</v>
      </c>
      <c r="I243" s="18"/>
      <c r="J243" s="18"/>
      <c r="K243" s="18"/>
      <c r="L243" s="19">
        <f t="shared" si="4"/>
        <v>124277.43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2382734.41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2382734.41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2586801.5</v>
      </c>
      <c r="G256" s="41">
        <f t="shared" si="8"/>
        <v>1155899.5599999998</v>
      </c>
      <c r="H256" s="41">
        <f t="shared" si="8"/>
        <v>3458374.17</v>
      </c>
      <c r="I256" s="41">
        <f t="shared" si="8"/>
        <v>165784.35</v>
      </c>
      <c r="J256" s="41">
        <f t="shared" si="8"/>
        <v>33986.949999999997</v>
      </c>
      <c r="K256" s="41">
        <f t="shared" si="8"/>
        <v>12193.14</v>
      </c>
      <c r="L256" s="41">
        <f t="shared" si="8"/>
        <v>7413039.6699999999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198.56</v>
      </c>
      <c r="L262" s="19">
        <f>SUM(F262:K262)</f>
        <v>198.56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75000</v>
      </c>
      <c r="L265" s="19">
        <f t="shared" si="9"/>
        <v>75000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75198.559999999998</v>
      </c>
      <c r="L269" s="41">
        <f t="shared" si="9"/>
        <v>75198.559999999998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2586801.5</v>
      </c>
      <c r="G270" s="42">
        <f t="shared" si="11"/>
        <v>1155899.5599999998</v>
      </c>
      <c r="H270" s="42">
        <f t="shared" si="11"/>
        <v>3458374.17</v>
      </c>
      <c r="I270" s="42">
        <f t="shared" si="11"/>
        <v>165784.35</v>
      </c>
      <c r="J270" s="42">
        <f t="shared" si="11"/>
        <v>33986.949999999997</v>
      </c>
      <c r="K270" s="42">
        <f t="shared" si="11"/>
        <v>87391.7</v>
      </c>
      <c r="L270" s="42">
        <f t="shared" si="11"/>
        <v>7488238.2299999995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22625</v>
      </c>
      <c r="G275" s="18">
        <f>1730.81+82.05</f>
        <v>1812.86</v>
      </c>
      <c r="H275" s="18">
        <v>250</v>
      </c>
      <c r="I275" s="18">
        <v>85.46</v>
      </c>
      <c r="J275" s="18">
        <f>2599.95+7032.75</f>
        <v>9632.7000000000007</v>
      </c>
      <c r="K275" s="18"/>
      <c r="L275" s="19">
        <f>SUM(F275:K275)</f>
        <v>34406.020000000004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>
        <v>1361.6</v>
      </c>
      <c r="I276" s="18"/>
      <c r="J276" s="18">
        <v>1995</v>
      </c>
      <c r="K276" s="18"/>
      <c r="L276" s="19">
        <f>SUM(F276:K276)</f>
        <v>3356.6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v>4800</v>
      </c>
      <c r="I280" s="18"/>
      <c r="J280" s="18">
        <v>1767</v>
      </c>
      <c r="K280" s="18">
        <v>50</v>
      </c>
      <c r="L280" s="19">
        <f t="shared" ref="L280:L286" si="12">SUM(F280:K280)</f>
        <v>6617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>
        <v>1710</v>
      </c>
      <c r="H281" s="18">
        <f>8.07+4935+72.51+11400+4384.25+3266+1062.17+1600+5000+24330+75093.44+7220</f>
        <v>138371.44</v>
      </c>
      <c r="I281" s="18">
        <f>296.97+700</f>
        <v>996.97</v>
      </c>
      <c r="J281" s="18"/>
      <c r="K281" s="18"/>
      <c r="L281" s="19">
        <f t="shared" si="12"/>
        <v>141078.41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>
        <v>2078</v>
      </c>
      <c r="I282" s="18"/>
      <c r="J282" s="18"/>
      <c r="K282" s="18"/>
      <c r="L282" s="19">
        <f t="shared" si="12"/>
        <v>2078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9572.08</v>
      </c>
      <c r="L284" s="19">
        <f t="shared" si="12"/>
        <v>9572.08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22625</v>
      </c>
      <c r="G289" s="42">
        <f t="shared" si="13"/>
        <v>3522.8599999999997</v>
      </c>
      <c r="H289" s="42">
        <f t="shared" si="13"/>
        <v>146861.04</v>
      </c>
      <c r="I289" s="42">
        <f t="shared" si="13"/>
        <v>1082.43</v>
      </c>
      <c r="J289" s="42">
        <f t="shared" si="13"/>
        <v>13394.7</v>
      </c>
      <c r="K289" s="42">
        <f t="shared" si="13"/>
        <v>9622.08</v>
      </c>
      <c r="L289" s="41">
        <f t="shared" si="13"/>
        <v>197108.11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22625</v>
      </c>
      <c r="G337" s="41">
        <f t="shared" si="20"/>
        <v>3522.8599999999997</v>
      </c>
      <c r="H337" s="41">
        <f t="shared" si="20"/>
        <v>146861.04</v>
      </c>
      <c r="I337" s="41">
        <f t="shared" si="20"/>
        <v>1082.43</v>
      </c>
      <c r="J337" s="41">
        <f t="shared" si="20"/>
        <v>13394.7</v>
      </c>
      <c r="K337" s="41">
        <f t="shared" si="20"/>
        <v>9622.08</v>
      </c>
      <c r="L337" s="41">
        <f t="shared" si="20"/>
        <v>197108.11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22625</v>
      </c>
      <c r="G351" s="41">
        <f>G337</f>
        <v>3522.8599999999997</v>
      </c>
      <c r="H351" s="41">
        <f>H337</f>
        <v>146861.04</v>
      </c>
      <c r="I351" s="41">
        <f>I337</f>
        <v>1082.43</v>
      </c>
      <c r="J351" s="41">
        <f>J337</f>
        <v>13394.7</v>
      </c>
      <c r="K351" s="47">
        <f>K337+K350</f>
        <v>9622.08</v>
      </c>
      <c r="L351" s="41">
        <f>L337+L350</f>
        <v>197108.11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33547.51</v>
      </c>
      <c r="G357" s="18">
        <f>12554.03+578.67+63.49+72.45+2410.54+636.11</f>
        <v>16315.29</v>
      </c>
      <c r="H357" s="18">
        <f>6000+1272.41+607.73+122.1</f>
        <v>8002.24</v>
      </c>
      <c r="I357" s="18">
        <f>3582.91+43514.04</f>
        <v>47096.95</v>
      </c>
      <c r="J357" s="18">
        <v>1729</v>
      </c>
      <c r="K357" s="18">
        <v>1089.5</v>
      </c>
      <c r="L357" s="13">
        <f>SUM(F357:K357)</f>
        <v>107780.48999999999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33547.51</v>
      </c>
      <c r="G361" s="47">
        <f t="shared" si="22"/>
        <v>16315.29</v>
      </c>
      <c r="H361" s="47">
        <f t="shared" si="22"/>
        <v>8002.24</v>
      </c>
      <c r="I361" s="47">
        <f t="shared" si="22"/>
        <v>47096.95</v>
      </c>
      <c r="J361" s="47">
        <f t="shared" si="22"/>
        <v>1729</v>
      </c>
      <c r="K361" s="47">
        <f t="shared" si="22"/>
        <v>1089.5</v>
      </c>
      <c r="L361" s="47">
        <f t="shared" si="22"/>
        <v>107780.48999999999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43514.04</v>
      </c>
      <c r="G366" s="18"/>
      <c r="H366" s="18"/>
      <c r="I366" s="56">
        <f>SUM(F366:H366)</f>
        <v>43514.04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3582.91</v>
      </c>
      <c r="G367" s="63"/>
      <c r="H367" s="63"/>
      <c r="I367" s="56">
        <f>SUM(F367:H367)</f>
        <v>3582.91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47096.95</v>
      </c>
      <c r="G368" s="47">
        <f>SUM(G366:G367)</f>
        <v>0</v>
      </c>
      <c r="H368" s="47">
        <f>SUM(H366:H367)</f>
        <v>0</v>
      </c>
      <c r="I368" s="47">
        <f>SUM(I366:I367)</f>
        <v>47096.95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>
        <v>100650</v>
      </c>
      <c r="I374" s="18"/>
      <c r="J374" s="18"/>
      <c r="K374" s="18"/>
      <c r="L374" s="13">
        <f t="shared" ref="L374:L380" si="23">SUM(F374:K374)</f>
        <v>100650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>
        <v>1881.45</v>
      </c>
      <c r="I375" s="18"/>
      <c r="J375" s="18"/>
      <c r="K375" s="18"/>
      <c r="L375" s="13">
        <f t="shared" si="23"/>
        <v>1881.45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>
        <v>68337</v>
      </c>
      <c r="I378" s="18"/>
      <c r="J378" s="18"/>
      <c r="K378" s="18"/>
      <c r="L378" s="13">
        <f t="shared" si="23"/>
        <v>68337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170868.45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170868.45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75000</v>
      </c>
      <c r="H388" s="18">
        <v>2186.35</v>
      </c>
      <c r="I388" s="18"/>
      <c r="J388" s="24" t="s">
        <v>289</v>
      </c>
      <c r="K388" s="24" t="s">
        <v>289</v>
      </c>
      <c r="L388" s="56">
        <f t="shared" si="25"/>
        <v>77186.350000000006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75000</v>
      </c>
      <c r="H392" s="139">
        <f>SUM(H386:H391)</f>
        <v>2186.35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77186.350000000006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655.41</v>
      </c>
      <c r="I397" s="18"/>
      <c r="J397" s="24" t="s">
        <v>289</v>
      </c>
      <c r="K397" s="24" t="s">
        <v>289</v>
      </c>
      <c r="L397" s="56">
        <f t="shared" si="26"/>
        <v>655.41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655.41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655.41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75000</v>
      </c>
      <c r="H407" s="47">
        <f>H392+H400+H406</f>
        <v>2841.7599999999998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77841.760000000009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>
        <v>207767.45</v>
      </c>
      <c r="I414" s="18"/>
      <c r="J414" s="18"/>
      <c r="K414" s="18"/>
      <c r="L414" s="56">
        <f t="shared" si="27"/>
        <v>207767.45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207767.45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207767.45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207767.45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207767.45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126607.32</v>
      </c>
      <c r="G439" s="18">
        <v>151319.9</v>
      </c>
      <c r="H439" s="18"/>
      <c r="I439" s="56">
        <f t="shared" si="33"/>
        <v>277927.21999999997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126607.32</v>
      </c>
      <c r="G445" s="13">
        <f>SUM(G438:G444)</f>
        <v>151319.9</v>
      </c>
      <c r="H445" s="13">
        <f>SUM(H438:H444)</f>
        <v>0</v>
      </c>
      <c r="I445" s="13">
        <f>SUM(I438:I444)</f>
        <v>277927.21999999997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126607.32</v>
      </c>
      <c r="G458" s="18">
        <v>151319.9</v>
      </c>
      <c r="H458" s="18"/>
      <c r="I458" s="56">
        <f t="shared" si="34"/>
        <v>277927.21999999997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126607.32</v>
      </c>
      <c r="G459" s="83">
        <f>SUM(G453:G458)</f>
        <v>151319.9</v>
      </c>
      <c r="H459" s="83">
        <f>SUM(H453:H458)</f>
        <v>0</v>
      </c>
      <c r="I459" s="83">
        <f>SUM(I453:I458)</f>
        <v>277927.21999999997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126607.32</v>
      </c>
      <c r="G460" s="42">
        <f>G451+G459</f>
        <v>151319.9</v>
      </c>
      <c r="H460" s="42">
        <f>H451+H459</f>
        <v>0</v>
      </c>
      <c r="I460" s="42">
        <f>I451+I459</f>
        <v>277927.21999999997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325998.78000000003</v>
      </c>
      <c r="G464" s="18">
        <v>0</v>
      </c>
      <c r="H464" s="18">
        <v>0</v>
      </c>
      <c r="I464" s="18">
        <v>0</v>
      </c>
      <c r="J464" s="18">
        <v>407852.91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7383688.5499999998</v>
      </c>
      <c r="G467" s="18">
        <v>107780.49</v>
      </c>
      <c r="H467" s="18">
        <f>189825.36+7665.56</f>
        <v>197490.91999999998</v>
      </c>
      <c r="I467" s="18">
        <v>170868.45</v>
      </c>
      <c r="J467" s="18">
        <f>75000+2186.35+655.41</f>
        <v>77841.760000000009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7383688.5499999998</v>
      </c>
      <c r="G469" s="53">
        <f>SUM(G467:G468)</f>
        <v>107780.49</v>
      </c>
      <c r="H469" s="53">
        <f>SUM(H467:H468)</f>
        <v>197490.91999999998</v>
      </c>
      <c r="I469" s="53">
        <f>SUM(I467:I468)</f>
        <v>170868.45</v>
      </c>
      <c r="J469" s="53">
        <f>SUM(J467:J468)</f>
        <v>77841.760000000009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7488238.2300000004</v>
      </c>
      <c r="G471" s="18">
        <v>107780.49</v>
      </c>
      <c r="H471" s="18">
        <f>189825.36+7282.75</f>
        <v>197108.11</v>
      </c>
      <c r="I471" s="18">
        <v>170868.45</v>
      </c>
      <c r="J471" s="18">
        <v>207767.45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7488238.2300000004</v>
      </c>
      <c r="G473" s="53">
        <f>SUM(G471:G472)</f>
        <v>107780.49</v>
      </c>
      <c r="H473" s="53">
        <f>SUM(H471:H472)</f>
        <v>197108.11</v>
      </c>
      <c r="I473" s="53">
        <f>SUM(I471:I472)</f>
        <v>170868.45</v>
      </c>
      <c r="J473" s="53">
        <f>SUM(J471:J472)</f>
        <v>207767.45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221449.09999999963</v>
      </c>
      <c r="G475" s="53">
        <f>(G464+G469)- G473</f>
        <v>0</v>
      </c>
      <c r="H475" s="53">
        <f>(H464+H469)- H473</f>
        <v>382.80999999999767</v>
      </c>
      <c r="I475" s="53">
        <f>(I464+I469)- I473</f>
        <v>0</v>
      </c>
      <c r="J475" s="53">
        <f>(J464+J469)- J473</f>
        <v>277927.21999999997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174806.69+304097.29</f>
        <v>478903.98</v>
      </c>
      <c r="G520" s="18">
        <f>232425.06+10962.55+1214.7+1833.45+33543.98+19470.57+1676.42</f>
        <v>301126.73</v>
      </c>
      <c r="H520" s="18">
        <f>722.01+53970.26+103776.58+14.43+36764.86+1361.6</f>
        <v>196609.74000000002</v>
      </c>
      <c r="I520" s="18">
        <f>342.37+244.21</f>
        <v>586.58000000000004</v>
      </c>
      <c r="J520" s="18">
        <f>483.4+142.88+1995</f>
        <v>2621.2799999999997</v>
      </c>
      <c r="K520" s="18"/>
      <c r="L520" s="88">
        <f>SUM(F520:K520)</f>
        <v>979848.30999999994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647151.61</v>
      </c>
      <c r="I522" s="18"/>
      <c r="J522" s="18"/>
      <c r="K522" s="18"/>
      <c r="L522" s="88">
        <f>SUM(F522:K522)</f>
        <v>647151.61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478903.98</v>
      </c>
      <c r="G523" s="108">
        <f t="shared" ref="G523:L523" si="36">SUM(G520:G522)</f>
        <v>301126.73</v>
      </c>
      <c r="H523" s="108">
        <f t="shared" si="36"/>
        <v>843761.35</v>
      </c>
      <c r="I523" s="108">
        <f t="shared" si="36"/>
        <v>586.58000000000004</v>
      </c>
      <c r="J523" s="108">
        <f t="shared" si="36"/>
        <v>2621.2799999999997</v>
      </c>
      <c r="K523" s="108">
        <f t="shared" si="36"/>
        <v>0</v>
      </c>
      <c r="L523" s="89">
        <f t="shared" si="36"/>
        <v>1626999.92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73114.43+50703.9+62631.92</f>
        <v>186450.25</v>
      </c>
      <c r="G525" s="18">
        <f>12702.6+700+82.08+234.78+5398.02+8261.96+255.86+3471+553+82.08+197.86+3880.94+5729.62+177.58+6880.6+497+82.08+244.14+4673.08+7077.46+219.18</f>
        <v>61400.920000000013</v>
      </c>
      <c r="H525" s="18">
        <f>482.7+10160+25.53+4569.81+410.97+1066.33+24330+82313.44+1496.41</f>
        <v>124855.19</v>
      </c>
      <c r="I525" s="18">
        <f>335.06+288.26+69.19+387.84+71.16+700</f>
        <v>1851.51</v>
      </c>
      <c r="J525" s="18">
        <f>1630.45+389.97+988.45+1767</f>
        <v>4775.87</v>
      </c>
      <c r="K525" s="18"/>
      <c r="L525" s="88">
        <f>SUM(F525:K525)</f>
        <v>379333.74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186450.25</v>
      </c>
      <c r="G528" s="89">
        <f t="shared" ref="G528:L528" si="37">SUM(G525:G527)</f>
        <v>61400.920000000013</v>
      </c>
      <c r="H528" s="89">
        <f t="shared" si="37"/>
        <v>124855.19</v>
      </c>
      <c r="I528" s="89">
        <f t="shared" si="37"/>
        <v>1851.51</v>
      </c>
      <c r="J528" s="89">
        <f t="shared" si="37"/>
        <v>4775.87</v>
      </c>
      <c r="K528" s="89">
        <f t="shared" si="37"/>
        <v>0</v>
      </c>
      <c r="L528" s="89">
        <f t="shared" si="37"/>
        <v>379333.74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45618</v>
      </c>
      <c r="I530" s="18"/>
      <c r="J530" s="18"/>
      <c r="K530" s="18">
        <v>6777.82</v>
      </c>
      <c r="L530" s="88">
        <f>SUM(F530:K530)</f>
        <v>52395.82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45618</v>
      </c>
      <c r="I533" s="89">
        <f t="shared" si="38"/>
        <v>0</v>
      </c>
      <c r="J533" s="89">
        <f t="shared" si="38"/>
        <v>0</v>
      </c>
      <c r="K533" s="89">
        <f t="shared" si="38"/>
        <v>6777.82</v>
      </c>
      <c r="L533" s="89">
        <f t="shared" si="38"/>
        <v>52395.82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42484.18</v>
      </c>
      <c r="I540" s="18"/>
      <c r="J540" s="18"/>
      <c r="K540" s="18"/>
      <c r="L540" s="88">
        <f>SUM(F540:K540)</f>
        <v>42484.18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54610</v>
      </c>
      <c r="I542" s="18"/>
      <c r="J542" s="18"/>
      <c r="K542" s="18"/>
      <c r="L542" s="88">
        <f>SUM(F542:K542)</f>
        <v>54610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97094.18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97094.18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665354.23</v>
      </c>
      <c r="G544" s="89">
        <f t="shared" ref="G544:L544" si="41">G523+G528+G533+G538+G543</f>
        <v>362527.65</v>
      </c>
      <c r="H544" s="89">
        <f t="shared" si="41"/>
        <v>1111328.72</v>
      </c>
      <c r="I544" s="89">
        <f t="shared" si="41"/>
        <v>2438.09</v>
      </c>
      <c r="J544" s="89">
        <f t="shared" si="41"/>
        <v>7397.15</v>
      </c>
      <c r="K544" s="89">
        <f t="shared" si="41"/>
        <v>6777.82</v>
      </c>
      <c r="L544" s="89">
        <f t="shared" si="41"/>
        <v>2155823.66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979848.30999999994</v>
      </c>
      <c r="G548" s="87">
        <f>L525</f>
        <v>379333.74</v>
      </c>
      <c r="H548" s="87">
        <f>L530</f>
        <v>52395.82</v>
      </c>
      <c r="I548" s="87">
        <f>L535</f>
        <v>0</v>
      </c>
      <c r="J548" s="87">
        <f>L540</f>
        <v>42484.18</v>
      </c>
      <c r="K548" s="87">
        <f>SUM(F548:J548)</f>
        <v>1454062.0499999998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647151.61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54610</v>
      </c>
      <c r="K550" s="87">
        <f>SUM(F550:J550)</f>
        <v>701761.61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1626999.92</v>
      </c>
      <c r="G551" s="89">
        <f t="shared" si="42"/>
        <v>379333.74</v>
      </c>
      <c r="H551" s="89">
        <f t="shared" si="42"/>
        <v>52395.82</v>
      </c>
      <c r="I551" s="89">
        <f t="shared" si="42"/>
        <v>0</v>
      </c>
      <c r="J551" s="89">
        <f t="shared" si="42"/>
        <v>97094.18</v>
      </c>
      <c r="K551" s="89">
        <f t="shared" si="42"/>
        <v>2155823.6599999997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f>53970.26+36764.86</f>
        <v>90735.12</v>
      </c>
      <c r="G574" s="18"/>
      <c r="H574" s="18">
        <f>1611305.37+541778.73</f>
        <v>2153084.1</v>
      </c>
      <c r="I574" s="87">
        <f>SUM(F574:H574)</f>
        <v>2243819.2200000002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f>103776.58+1361.6</f>
        <v>105138.18000000001</v>
      </c>
      <c r="G577" s="18"/>
      <c r="H577" s="18">
        <v>105372.88</v>
      </c>
      <c r="I577" s="87">
        <f t="shared" si="47"/>
        <v>210511.06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217841.17</v>
      </c>
      <c r="I590" s="18"/>
      <c r="J590" s="18">
        <v>69667.429999999993</v>
      </c>
      <c r="K590" s="104">
        <f t="shared" ref="K590:K596" si="48">SUM(H590:J590)</f>
        <v>287508.59999999998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42484.18</v>
      </c>
      <c r="I591" s="18"/>
      <c r="J591" s="18">
        <v>54610</v>
      </c>
      <c r="K591" s="104">
        <f t="shared" si="48"/>
        <v>97094.18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5805.21</v>
      </c>
      <c r="I593" s="18"/>
      <c r="J593" s="18"/>
      <c r="K593" s="104">
        <f t="shared" si="48"/>
        <v>5805.21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1970</v>
      </c>
      <c r="I594" s="18"/>
      <c r="J594" s="18"/>
      <c r="K594" s="104">
        <f t="shared" si="48"/>
        <v>1970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268100.56</v>
      </c>
      <c r="I597" s="108">
        <f>SUM(I590:I596)</f>
        <v>0</v>
      </c>
      <c r="J597" s="108">
        <f>SUM(J590:J596)</f>
        <v>124277.43</v>
      </c>
      <c r="K597" s="108">
        <f>SUM(K590:K596)</f>
        <v>392377.99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47381.65</v>
      </c>
      <c r="I603" s="18"/>
      <c r="J603" s="18"/>
      <c r="K603" s="104">
        <f>SUM(H603:J603)</f>
        <v>47381.65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47381.65</v>
      </c>
      <c r="I604" s="108">
        <f>SUM(I601:I603)</f>
        <v>0</v>
      </c>
      <c r="J604" s="108">
        <f>SUM(J601:J603)</f>
        <v>0</v>
      </c>
      <c r="K604" s="108">
        <f>SUM(K601:K603)</f>
        <v>47381.65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7860</v>
      </c>
      <c r="G610" s="18">
        <f>601.34+166.11+27.54</f>
        <v>794.99</v>
      </c>
      <c r="H610" s="18"/>
      <c r="I610" s="18">
        <v>388.6</v>
      </c>
      <c r="J610" s="18"/>
      <c r="K610" s="18"/>
      <c r="L610" s="88">
        <f>SUM(F610:K610)</f>
        <v>9043.59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7860</v>
      </c>
      <c r="G613" s="108">
        <f t="shared" si="49"/>
        <v>794.99</v>
      </c>
      <c r="H613" s="108">
        <f t="shared" si="49"/>
        <v>0</v>
      </c>
      <c r="I613" s="108">
        <f t="shared" si="49"/>
        <v>388.6</v>
      </c>
      <c r="J613" s="108">
        <f t="shared" si="49"/>
        <v>0</v>
      </c>
      <c r="K613" s="108">
        <f t="shared" si="49"/>
        <v>0</v>
      </c>
      <c r="L613" s="89">
        <f t="shared" si="49"/>
        <v>9043.59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275796.31000000006</v>
      </c>
      <c r="H616" s="109">
        <f>SUM(F51)</f>
        <v>275796.31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9308.98</v>
      </c>
      <c r="H617" s="109">
        <f>SUM(G51)</f>
        <v>9308.98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92984.69</v>
      </c>
      <c r="H618" s="109">
        <f>SUM(H51)</f>
        <v>92984.69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277927.21999999997</v>
      </c>
      <c r="H620" s="109">
        <f>SUM(J51)</f>
        <v>277927.21999999997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221449.1</v>
      </c>
      <c r="H621" s="109">
        <f>F475</f>
        <v>221449.09999999963</v>
      </c>
      <c r="I621" s="121" t="s">
        <v>101</v>
      </c>
      <c r="J621" s="109">
        <f t="shared" ref="J621:J654" si="50">G621-H621</f>
        <v>3.7834979593753815E-10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382.81</v>
      </c>
      <c r="H623" s="109">
        <f>H475</f>
        <v>382.80999999999767</v>
      </c>
      <c r="I623" s="121" t="s">
        <v>103</v>
      </c>
      <c r="J623" s="109">
        <f t="shared" si="50"/>
        <v>2.3305801732931286E-12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277927.21999999997</v>
      </c>
      <c r="H625" s="109">
        <f>J475</f>
        <v>277927.21999999997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7383688.5499999998</v>
      </c>
      <c r="H626" s="104">
        <f>SUM(F467)</f>
        <v>7383688.5499999998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107780.48999999999</v>
      </c>
      <c r="H627" s="104">
        <f>SUM(G467)</f>
        <v>107780.49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197490.91999999998</v>
      </c>
      <c r="H628" s="104">
        <f>SUM(H467)</f>
        <v>197490.91999999998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170868.45</v>
      </c>
      <c r="H629" s="104">
        <f>SUM(I467)</f>
        <v>170868.45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77841.759999999995</v>
      </c>
      <c r="H630" s="104">
        <f>SUM(J467)</f>
        <v>77841.760000000009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7488238.2299999995</v>
      </c>
      <c r="H631" s="104">
        <f>SUM(F471)</f>
        <v>7488238.2300000004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197108.11</v>
      </c>
      <c r="H632" s="104">
        <f>SUM(H471)</f>
        <v>197108.11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47096.95</v>
      </c>
      <c r="H633" s="104">
        <f>I368</f>
        <v>47096.95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107780.48999999999</v>
      </c>
      <c r="H634" s="104">
        <f>SUM(G471)</f>
        <v>107780.49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170868.45</v>
      </c>
      <c r="H635" s="104">
        <f>SUM(I471)</f>
        <v>170868.45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77841.760000000009</v>
      </c>
      <c r="H636" s="164">
        <f>SUM(J467)</f>
        <v>77841.760000000009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207767.45</v>
      </c>
      <c r="H637" s="164">
        <f>SUM(J471)</f>
        <v>207767.45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126607.32</v>
      </c>
      <c r="H638" s="104">
        <f>SUM(F460)</f>
        <v>126607.32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151319.9</v>
      </c>
      <c r="H639" s="104">
        <f>SUM(G460)</f>
        <v>151319.9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277927.21999999997</v>
      </c>
      <c r="H641" s="104">
        <f>SUM(I460)</f>
        <v>277927.21999999997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2841.7599999999998</v>
      </c>
      <c r="H643" s="104">
        <f>H407</f>
        <v>2841.7599999999998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75000</v>
      </c>
      <c r="H644" s="104">
        <f>G407</f>
        <v>75000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77841.759999999995</v>
      </c>
      <c r="H645" s="104">
        <f>L407</f>
        <v>77841.760000000009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392377.99</v>
      </c>
      <c r="H646" s="104">
        <f>L207+L225+L243</f>
        <v>392377.99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47381.65</v>
      </c>
      <c r="H647" s="104">
        <f>(J256+J337)-(J254+J335)</f>
        <v>47381.649999999994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268100.56</v>
      </c>
      <c r="H648" s="104">
        <f>H597</f>
        <v>268100.56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124277.43</v>
      </c>
      <c r="H650" s="104">
        <f>J597</f>
        <v>124277.43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198.56</v>
      </c>
      <c r="H651" s="104">
        <f>K262+K344</f>
        <v>198.56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75000</v>
      </c>
      <c r="H654" s="104">
        <f>K265+K346</f>
        <v>75000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5335193.8600000003</v>
      </c>
      <c r="G659" s="19">
        <f>(L228+L308+L358)</f>
        <v>0</v>
      </c>
      <c r="H659" s="19">
        <f>(L246+L327+L359)</f>
        <v>2382734.41</v>
      </c>
      <c r="I659" s="19">
        <f>SUM(F659:H659)</f>
        <v>7717928.2700000005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74802.09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74802.09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268100.56</v>
      </c>
      <c r="G661" s="19">
        <f>(L225+L305)-(J225+J305)</f>
        <v>0</v>
      </c>
      <c r="H661" s="19">
        <f>(L243+L324)-(J243+J324)</f>
        <v>124277.43</v>
      </c>
      <c r="I661" s="19">
        <f>SUM(F661:H661)</f>
        <v>392377.99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252298.53999999998</v>
      </c>
      <c r="G662" s="199">
        <f>SUM(G574:G586)+SUM(I601:I603)+L611</f>
        <v>0</v>
      </c>
      <c r="H662" s="199">
        <f>SUM(H574:H586)+SUM(J601:J603)+L612</f>
        <v>2258456.98</v>
      </c>
      <c r="I662" s="19">
        <f>SUM(F662:H662)</f>
        <v>2510755.52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4739992.67</v>
      </c>
      <c r="G663" s="19">
        <f>G659-SUM(G660:G662)</f>
        <v>0</v>
      </c>
      <c r="H663" s="19">
        <f>H659-SUM(H660:H662)</f>
        <v>0</v>
      </c>
      <c r="I663" s="19">
        <f>I659-SUM(I660:I662)</f>
        <v>4739992.67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283.39999999999998</v>
      </c>
      <c r="G664" s="248"/>
      <c r="H664" s="248"/>
      <c r="I664" s="19">
        <f>SUM(F664:H664)</f>
        <v>283.39999999999998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16725.45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16725.45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16725.45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16725.45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9"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Chesterfield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1491094.25</v>
      </c>
      <c r="C9" s="229">
        <f>'DOE25'!G196+'DOE25'!G214+'DOE25'!G232+'DOE25'!G275+'DOE25'!G294+'DOE25'!G313</f>
        <v>597198.18999999994</v>
      </c>
    </row>
    <row r="10" spans="1:3" x14ac:dyDescent="0.2">
      <c r="A10" t="s">
        <v>779</v>
      </c>
      <c r="B10" s="240">
        <v>1467660.44</v>
      </c>
      <c r="C10" s="240">
        <v>587812.71</v>
      </c>
    </row>
    <row r="11" spans="1:3" x14ac:dyDescent="0.2">
      <c r="A11" t="s">
        <v>780</v>
      </c>
      <c r="B11" s="240">
        <v>23433.81</v>
      </c>
      <c r="C11" s="240">
        <v>9385.48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1491094.25</v>
      </c>
      <c r="C13" s="231">
        <f>SUM(C10:C12)</f>
        <v>597198.18999999994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478903.98</v>
      </c>
      <c r="C18" s="229">
        <f>'DOE25'!G197+'DOE25'!G215+'DOE25'!G233+'DOE25'!G276+'DOE25'!G295+'DOE25'!G314</f>
        <v>301126.73</v>
      </c>
    </row>
    <row r="19" spans="1:3" x14ac:dyDescent="0.2">
      <c r="A19" t="s">
        <v>779</v>
      </c>
      <c r="B19" s="240">
        <v>174806.69</v>
      </c>
      <c r="C19" s="240">
        <v>109915.49</v>
      </c>
    </row>
    <row r="20" spans="1:3" x14ac:dyDescent="0.2">
      <c r="A20" t="s">
        <v>780</v>
      </c>
      <c r="B20" s="240">
        <v>304097.28999999998</v>
      </c>
      <c r="C20" s="240">
        <v>191211.24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478903.98</v>
      </c>
      <c r="C22" s="231">
        <f>SUM(C19:C21)</f>
        <v>301126.73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20849.989999999998</v>
      </c>
      <c r="C36" s="235">
        <f>'DOE25'!G199+'DOE25'!G217+'DOE25'!G235+'DOE25'!G278+'DOE25'!G297+'DOE25'!G316</f>
        <v>2411.6400000000003</v>
      </c>
    </row>
    <row r="37" spans="1:3" x14ac:dyDescent="0.2">
      <c r="A37" t="s">
        <v>779</v>
      </c>
      <c r="B37" s="240">
        <v>12009.99</v>
      </c>
      <c r="C37" s="240">
        <v>1389.15</v>
      </c>
    </row>
    <row r="38" spans="1:3" x14ac:dyDescent="0.2">
      <c r="A38" t="s">
        <v>780</v>
      </c>
      <c r="B38" s="240">
        <v>8840</v>
      </c>
      <c r="C38" s="240">
        <v>1022.49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20849.989999999998</v>
      </c>
      <c r="C40" s="231">
        <f>SUM(C37:C39)</f>
        <v>2411.6400000000003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4" activePane="bottomLeft" state="frozen"/>
      <selection pane="bottomLeft" activeCell="E20" sqref="E2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Chesterfield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5372983.9199999999</v>
      </c>
      <c r="D5" s="20">
        <f>SUM('DOE25'!L196:L199)+SUM('DOE25'!L214:L217)+SUM('DOE25'!L232:L235)-F5-G5</f>
        <v>5359019.47</v>
      </c>
      <c r="E5" s="243"/>
      <c r="F5" s="255">
        <f>SUM('DOE25'!J196:J199)+SUM('DOE25'!J214:J217)+SUM('DOE25'!J232:J235)</f>
        <v>6517.25</v>
      </c>
      <c r="G5" s="53">
        <f>SUM('DOE25'!K196:K199)+SUM('DOE25'!K214:K217)+SUM('DOE25'!K232:K235)</f>
        <v>7447.2</v>
      </c>
      <c r="H5" s="259"/>
    </row>
    <row r="6" spans="1:9" x14ac:dyDescent="0.2">
      <c r="A6" s="32">
        <v>2100</v>
      </c>
      <c r="B6" t="s">
        <v>801</v>
      </c>
      <c r="C6" s="245">
        <f t="shared" si="0"/>
        <v>414177.75999999995</v>
      </c>
      <c r="D6" s="20">
        <f>'DOE25'!L201+'DOE25'!L219+'DOE25'!L237-F6-G6</f>
        <v>411101.29</v>
      </c>
      <c r="E6" s="243"/>
      <c r="F6" s="255">
        <f>'DOE25'!J201+'DOE25'!J219+'DOE25'!J237</f>
        <v>3076.4700000000003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128834.14</v>
      </c>
      <c r="D7" s="20">
        <f>'DOE25'!L202+'DOE25'!L220+'DOE25'!L238-F7-G7</f>
        <v>128629.19</v>
      </c>
      <c r="E7" s="243"/>
      <c r="F7" s="255">
        <f>'DOE25'!J202+'DOE25'!J220+'DOE25'!J238</f>
        <v>0</v>
      </c>
      <c r="G7" s="53">
        <f>'DOE25'!K202+'DOE25'!K220+'DOE25'!K238</f>
        <v>204.95</v>
      </c>
      <c r="H7" s="259"/>
    </row>
    <row r="8" spans="1:9" x14ac:dyDescent="0.2">
      <c r="A8" s="32">
        <v>2300</v>
      </c>
      <c r="B8" t="s">
        <v>802</v>
      </c>
      <c r="C8" s="245">
        <f t="shared" si="0"/>
        <v>337531</v>
      </c>
      <c r="D8" s="243"/>
      <c r="E8" s="20">
        <f>'DOE25'!L203+'DOE25'!L221+'DOE25'!L239-F8-G8-D9-D11</f>
        <v>333710.01</v>
      </c>
      <c r="F8" s="255">
        <f>'DOE25'!J203+'DOE25'!J221+'DOE25'!J239</f>
        <v>0</v>
      </c>
      <c r="G8" s="53">
        <f>'DOE25'!K203+'DOE25'!K221+'DOE25'!K239</f>
        <v>3820.99</v>
      </c>
      <c r="H8" s="259"/>
    </row>
    <row r="9" spans="1:9" x14ac:dyDescent="0.2">
      <c r="A9" s="32">
        <v>2310</v>
      </c>
      <c r="B9" t="s">
        <v>818</v>
      </c>
      <c r="C9" s="245">
        <f t="shared" si="0"/>
        <v>13589</v>
      </c>
      <c r="D9" s="244">
        <v>13589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8125</v>
      </c>
      <c r="D10" s="243"/>
      <c r="E10" s="244">
        <v>8125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128338</v>
      </c>
      <c r="D11" s="244">
        <v>128338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219761.88999999998</v>
      </c>
      <c r="D12" s="20">
        <f>'DOE25'!L204+'DOE25'!L222+'DOE25'!L240-F12-G12</f>
        <v>219041.88999999998</v>
      </c>
      <c r="E12" s="243"/>
      <c r="F12" s="255">
        <f>'DOE25'!J204+'DOE25'!J222+'DOE25'!J240</f>
        <v>0</v>
      </c>
      <c r="G12" s="53">
        <f>'DOE25'!K204+'DOE25'!K222+'DOE25'!K240</f>
        <v>720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358493.18999999994</v>
      </c>
      <c r="D14" s="20">
        <f>'DOE25'!L206+'DOE25'!L224+'DOE25'!L242-F14-G14</f>
        <v>357877.45999999996</v>
      </c>
      <c r="E14" s="243"/>
      <c r="F14" s="255">
        <f>'DOE25'!J206+'DOE25'!J224+'DOE25'!J242</f>
        <v>615.73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392377.99</v>
      </c>
      <c r="D15" s="20">
        <f>'DOE25'!L207+'DOE25'!L225+'DOE25'!L243-F15-G15</f>
        <v>392377.99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46952.78</v>
      </c>
      <c r="D16" s="243"/>
      <c r="E16" s="20">
        <f>'DOE25'!L208+'DOE25'!L226+'DOE25'!L244-F16-G16</f>
        <v>23175.279999999999</v>
      </c>
      <c r="F16" s="255">
        <f>'DOE25'!J208+'DOE25'!J226+'DOE25'!J244</f>
        <v>23777.5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64266.44999999999</v>
      </c>
      <c r="D29" s="20">
        <f>'DOE25'!L357+'DOE25'!L358+'DOE25'!L359-'DOE25'!I366-F29-G29</f>
        <v>61447.94999999999</v>
      </c>
      <c r="E29" s="243"/>
      <c r="F29" s="255">
        <f>'DOE25'!J357+'DOE25'!J358+'DOE25'!J359</f>
        <v>1729</v>
      </c>
      <c r="G29" s="53">
        <f>'DOE25'!K357+'DOE25'!K358+'DOE25'!K359</f>
        <v>1089.5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197108.11</v>
      </c>
      <c r="D31" s="20">
        <f>'DOE25'!L289+'DOE25'!L308+'DOE25'!L327+'DOE25'!L332+'DOE25'!L333+'DOE25'!L334-F31-G31</f>
        <v>174091.33</v>
      </c>
      <c r="E31" s="243"/>
      <c r="F31" s="255">
        <f>'DOE25'!J289+'DOE25'!J308+'DOE25'!J327+'DOE25'!J332+'DOE25'!J333+'DOE25'!J334</f>
        <v>13394.7</v>
      </c>
      <c r="G31" s="53">
        <f>'DOE25'!K289+'DOE25'!K308+'DOE25'!K327+'DOE25'!K332+'DOE25'!K333+'DOE25'!K334</f>
        <v>9622.08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7245513.5700000003</v>
      </c>
      <c r="E33" s="246">
        <f>SUM(E5:E31)</f>
        <v>365010.29000000004</v>
      </c>
      <c r="F33" s="246">
        <f>SUM(F5:F31)</f>
        <v>49110.649999999994</v>
      </c>
      <c r="G33" s="246">
        <f>SUM(G5:G31)</f>
        <v>22904.720000000001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365010.29000000004</v>
      </c>
      <c r="E35" s="249"/>
    </row>
    <row r="36" spans="2:8" ht="12" thickTop="1" x14ac:dyDescent="0.2">
      <c r="B36" t="s">
        <v>815</v>
      </c>
      <c r="D36" s="20">
        <f>D33</f>
        <v>7245513.5700000003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Chesterfield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166263.60000000003</v>
      </c>
      <c r="D8" s="95">
        <f>'DOE25'!G9</f>
        <v>0</v>
      </c>
      <c r="E8" s="95">
        <f>'DOE25'!H9</f>
        <v>382.81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0.5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277927.21999999997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96107.89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10947.86</v>
      </c>
      <c r="D12" s="95">
        <f>'DOE25'!G13</f>
        <v>8225.99</v>
      </c>
      <c r="E12" s="95">
        <f>'DOE25'!H13</f>
        <v>92601.88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2476.46</v>
      </c>
      <c r="D13" s="95">
        <f>'DOE25'!G14</f>
        <v>1082.99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275796.31000000006</v>
      </c>
      <c r="D18" s="41">
        <f>SUM(D8:D17)</f>
        <v>9308.98</v>
      </c>
      <c r="E18" s="41">
        <f>SUM(E8:E17)</f>
        <v>92984.69</v>
      </c>
      <c r="F18" s="41">
        <f>SUM(F8:F17)</f>
        <v>0</v>
      </c>
      <c r="G18" s="41">
        <f>SUM(G8:G17)</f>
        <v>277927.21999999997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4752.87</v>
      </c>
      <c r="E21" s="95">
        <f>'DOE25'!H22</f>
        <v>91355.02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2621.96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19139.650000000001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32585.599999999999</v>
      </c>
      <c r="D27" s="95">
        <f>'DOE25'!G28</f>
        <v>1631.54</v>
      </c>
      <c r="E27" s="95">
        <f>'DOE25'!H28</f>
        <v>1246.8599999999999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2924.57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54347.21</v>
      </c>
      <c r="D31" s="41">
        <f>SUM(D21:D30)</f>
        <v>9308.98</v>
      </c>
      <c r="E31" s="41">
        <f>SUM(E21:E30)</f>
        <v>92601.88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382.81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4278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277927.21999999997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192171.1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221449.1</v>
      </c>
      <c r="D49" s="41">
        <f>SUM(D34:D48)</f>
        <v>0</v>
      </c>
      <c r="E49" s="41">
        <f>SUM(E34:E48)</f>
        <v>382.81</v>
      </c>
      <c r="F49" s="41">
        <f>SUM(F34:F48)</f>
        <v>0</v>
      </c>
      <c r="G49" s="41">
        <f>SUM(G34:G48)</f>
        <v>277927.21999999997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275796.31</v>
      </c>
      <c r="D50" s="41">
        <f>D49+D31</f>
        <v>9308.98</v>
      </c>
      <c r="E50" s="41">
        <f>E49+E31</f>
        <v>92984.69</v>
      </c>
      <c r="F50" s="41">
        <f>F49+F31</f>
        <v>0</v>
      </c>
      <c r="G50" s="41">
        <f>G49+G31</f>
        <v>277927.21999999997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4599565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310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700.53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2841.7599999999998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74802.09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92734.47</v>
      </c>
      <c r="D60" s="95">
        <f>SUM('DOE25'!G97:G109)</f>
        <v>0</v>
      </c>
      <c r="E60" s="95">
        <f>SUM('DOE25'!H97:H109)</f>
        <v>7665.56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93745</v>
      </c>
      <c r="D61" s="130">
        <f>SUM(D56:D60)</f>
        <v>74802.09</v>
      </c>
      <c r="E61" s="130">
        <f>SUM(E56:E60)</f>
        <v>7665.56</v>
      </c>
      <c r="F61" s="130">
        <f>SUM(F56:F60)</f>
        <v>0</v>
      </c>
      <c r="G61" s="130">
        <f>SUM(G56:G60)</f>
        <v>2841.7599999999998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4693310</v>
      </c>
      <c r="D62" s="22">
        <f>D55+D61</f>
        <v>74802.09</v>
      </c>
      <c r="E62" s="22">
        <f>E55+E61</f>
        <v>7665.56</v>
      </c>
      <c r="F62" s="22">
        <f>F55+F61</f>
        <v>0</v>
      </c>
      <c r="G62" s="22">
        <f>G55+G61</f>
        <v>2841.7599999999998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1143053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1333811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2476864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158136.37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1332.31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158136.37</v>
      </c>
      <c r="D77" s="130">
        <f>SUM(D71:D76)</f>
        <v>1332.31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2635000.37</v>
      </c>
      <c r="D80" s="130">
        <f>SUM(D78:D79)+D77+D69</f>
        <v>1332.31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8126.95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55378.18</v>
      </c>
      <c r="D87" s="95">
        <f>SUM('DOE25'!G152:G160)</f>
        <v>31447.53</v>
      </c>
      <c r="E87" s="95">
        <f>SUM('DOE25'!H152:H160)</f>
        <v>181698.41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55378.18</v>
      </c>
      <c r="D90" s="131">
        <f>SUM(D84:D89)</f>
        <v>31447.53</v>
      </c>
      <c r="E90" s="131">
        <f>SUM(E84:E89)</f>
        <v>189825.36000000002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198.56</v>
      </c>
      <c r="E95" s="95">
        <f>'DOE25'!H178</f>
        <v>0</v>
      </c>
      <c r="F95" s="95">
        <f>'DOE25'!I178</f>
        <v>0</v>
      </c>
      <c r="G95" s="95">
        <f>'DOE25'!J178</f>
        <v>75000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170868.45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198.56</v>
      </c>
      <c r="E102" s="86">
        <f>SUM(E92:E101)</f>
        <v>0</v>
      </c>
      <c r="F102" s="86">
        <f>SUM(F92:F101)</f>
        <v>170868.45</v>
      </c>
      <c r="G102" s="86">
        <f>SUM(G92:G101)</f>
        <v>75000</v>
      </c>
    </row>
    <row r="103" spans="1:7" ht="12.75" thickTop="1" thickBot="1" x14ac:dyDescent="0.25">
      <c r="A103" s="33" t="s">
        <v>765</v>
      </c>
      <c r="C103" s="86">
        <f>C62+C80+C90+C102</f>
        <v>7383688.5499999998</v>
      </c>
      <c r="D103" s="86">
        <f>D62+D80+D90+D102</f>
        <v>107780.48999999999</v>
      </c>
      <c r="E103" s="86">
        <f>E62+E80+E90+E102</f>
        <v>197490.92</v>
      </c>
      <c r="F103" s="86">
        <f>F62+F80+F90+F102</f>
        <v>170868.45</v>
      </c>
      <c r="G103" s="86">
        <f>G62+G80+G102</f>
        <v>77841.759999999995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3709243.43</v>
      </c>
      <c r="D108" s="24" t="s">
        <v>289</v>
      </c>
      <c r="E108" s="95">
        <f>('DOE25'!L275)+('DOE25'!L294)+('DOE25'!L313)</f>
        <v>34406.020000000004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1623643.3199999998</v>
      </c>
      <c r="D109" s="24" t="s">
        <v>289</v>
      </c>
      <c r="E109" s="95">
        <f>('DOE25'!L276)+('DOE25'!L295)+('DOE25'!L314)</f>
        <v>3356.6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40097.17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5372983.9199999999</v>
      </c>
      <c r="D114" s="86">
        <f>SUM(D108:D113)</f>
        <v>0</v>
      </c>
      <c r="E114" s="86">
        <f>SUM(E108:E113)</f>
        <v>37762.620000000003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414177.75999999995</v>
      </c>
      <c r="D117" s="24" t="s">
        <v>289</v>
      </c>
      <c r="E117" s="95">
        <f>+('DOE25'!L280)+('DOE25'!L299)+('DOE25'!L318)</f>
        <v>6617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128834.14</v>
      </c>
      <c r="D118" s="24" t="s">
        <v>289</v>
      </c>
      <c r="E118" s="95">
        <f>+('DOE25'!L281)+('DOE25'!L300)+('DOE25'!L319)</f>
        <v>141078.41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479458</v>
      </c>
      <c r="D119" s="24" t="s">
        <v>289</v>
      </c>
      <c r="E119" s="95">
        <f>+('DOE25'!L282)+('DOE25'!L301)+('DOE25'!L320)</f>
        <v>2078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219761.88999999998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9572.08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358493.18999999994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392377.99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46952.78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107780.48999999999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2040055.7499999998</v>
      </c>
      <c r="D127" s="86">
        <f>SUM(D117:D126)</f>
        <v>107780.48999999999</v>
      </c>
      <c r="E127" s="86">
        <f>SUM(E117:E126)</f>
        <v>159345.49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170868.45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198.56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77186.350000000006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655.41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-2841.7600000000093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75198.559999999998</v>
      </c>
      <c r="D143" s="141">
        <f>SUM(D129:D142)</f>
        <v>0</v>
      </c>
      <c r="E143" s="141">
        <f>SUM(E129:E142)</f>
        <v>0</v>
      </c>
      <c r="F143" s="141">
        <f>SUM(F129:F142)</f>
        <v>170868.45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7488238.2299999995</v>
      </c>
      <c r="D144" s="86">
        <f>(D114+D127+D143)</f>
        <v>107780.48999999999</v>
      </c>
      <c r="E144" s="86">
        <f>(E114+E127+E143)</f>
        <v>197108.11</v>
      </c>
      <c r="F144" s="86">
        <f>(F114+F127+F143)</f>
        <v>170868.45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Chesterfield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16725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16725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3743649</v>
      </c>
      <c r="D10" s="182">
        <f>ROUND((C10/$C$28)*100,1)</f>
        <v>49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1627000</v>
      </c>
      <c r="D11" s="182">
        <f>ROUND((C11/$C$28)*100,1)</f>
        <v>21.3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40097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420795</v>
      </c>
      <c r="D15" s="182">
        <f t="shared" ref="D15:D27" si="0">ROUND((C15/$C$28)*100,1)</f>
        <v>5.5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269913</v>
      </c>
      <c r="D16" s="182">
        <f t="shared" si="0"/>
        <v>3.5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528489</v>
      </c>
      <c r="D17" s="182">
        <f t="shared" si="0"/>
        <v>6.9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219762</v>
      </c>
      <c r="D18" s="182">
        <f t="shared" si="0"/>
        <v>2.9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9572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358493</v>
      </c>
      <c r="D20" s="182">
        <f t="shared" si="0"/>
        <v>4.7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392378</v>
      </c>
      <c r="D21" s="182">
        <f t="shared" si="0"/>
        <v>5.0999999999999996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32977.910000000003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7643125.9100000001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170868</v>
      </c>
    </row>
    <row r="30" spans="1:4" x14ac:dyDescent="0.2">
      <c r="B30" s="187" t="s">
        <v>729</v>
      </c>
      <c r="C30" s="180">
        <f>SUM(C28:C29)</f>
        <v>7813993.9100000001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4599565</v>
      </c>
      <c r="D35" s="182">
        <f t="shared" ref="D35:D40" si="1">ROUND((C35/$C$41)*100,1)</f>
        <v>60.4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104252.31999999937</v>
      </c>
      <c r="D36" s="182">
        <f t="shared" si="1"/>
        <v>1.4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2476864</v>
      </c>
      <c r="D37" s="182">
        <f t="shared" si="1"/>
        <v>32.5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159469</v>
      </c>
      <c r="D38" s="182">
        <f t="shared" si="1"/>
        <v>2.1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276651</v>
      </c>
      <c r="D39" s="182">
        <f t="shared" si="1"/>
        <v>3.6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7616801.3199999994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Chesterfield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2013-06-14T12:22:24Z</cp:lastPrinted>
  <dcterms:created xsi:type="dcterms:W3CDTF">1997-12-04T19:04:30Z</dcterms:created>
  <dcterms:modified xsi:type="dcterms:W3CDTF">2013-10-04T15:33:07Z</dcterms:modified>
</cp:coreProperties>
</file>