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 activeTab="2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C119" i="2" s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D6" i="13" s="1"/>
  <c r="C6" i="13" s="1"/>
  <c r="L219" i="1"/>
  <c r="L237" i="1"/>
  <c r="F7" i="13"/>
  <c r="D7" i="13" s="1"/>
  <c r="C7" i="13" s="1"/>
  <c r="G7" i="13"/>
  <c r="L202" i="1"/>
  <c r="L220" i="1"/>
  <c r="L238" i="1"/>
  <c r="F12" i="13"/>
  <c r="G12" i="13"/>
  <c r="L204" i="1"/>
  <c r="L222" i="1"/>
  <c r="L240" i="1"/>
  <c r="F14" i="13"/>
  <c r="G14" i="13"/>
  <c r="L206" i="1"/>
  <c r="C20" i="10" s="1"/>
  <c r="L224" i="1"/>
  <c r="L242" i="1"/>
  <c r="F15" i="13"/>
  <c r="G15" i="13"/>
  <c r="L207" i="1"/>
  <c r="G648" i="1" s="1"/>
  <c r="L225" i="1"/>
  <c r="L243" i="1"/>
  <c r="H661" i="1" s="1"/>
  <c r="F17" i="13"/>
  <c r="G17" i="13"/>
  <c r="L250" i="1"/>
  <c r="F18" i="13"/>
  <c r="G18" i="13"/>
  <c r="L251" i="1"/>
  <c r="F19" i="13"/>
  <c r="G19" i="13"/>
  <c r="L252" i="1"/>
  <c r="F29" i="13"/>
  <c r="G29" i="13"/>
  <c r="L357" i="1"/>
  <c r="D126" i="2" s="1"/>
  <c r="D127" i="2" s="1"/>
  <c r="L358" i="1"/>
  <c r="L359" i="1"/>
  <c r="I366" i="1"/>
  <c r="J289" i="1"/>
  <c r="J308" i="1"/>
  <c r="J327" i="1"/>
  <c r="K289" i="1"/>
  <c r="K308" i="1"/>
  <c r="K327" i="1"/>
  <c r="L275" i="1"/>
  <c r="L289" i="1" s="1"/>
  <c r="L276" i="1"/>
  <c r="L277" i="1"/>
  <c r="L278" i="1"/>
  <c r="L280" i="1"/>
  <c r="E117" i="2" s="1"/>
  <c r="L281" i="1"/>
  <c r="E118" i="2" s="1"/>
  <c r="L282" i="1"/>
  <c r="E119" i="2" s="1"/>
  <c r="L283" i="1"/>
  <c r="E120" i="2" s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C130" i="2" s="1"/>
  <c r="L260" i="1"/>
  <c r="C25" i="10" s="1"/>
  <c r="L340" i="1"/>
  <c r="L341" i="1"/>
  <c r="L254" i="1"/>
  <c r="L335" i="1"/>
  <c r="C11" i="13"/>
  <c r="C10" i="13"/>
  <c r="C9" i="13"/>
  <c r="L360" i="1"/>
  <c r="L361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C55" i="2" s="1"/>
  <c r="G59" i="1"/>
  <c r="H59" i="1"/>
  <c r="I59" i="1"/>
  <c r="F78" i="1"/>
  <c r="C56" i="2" s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F168" i="1" s="1"/>
  <c r="G146" i="1"/>
  <c r="G161" i="1"/>
  <c r="H146" i="1"/>
  <c r="H161" i="1"/>
  <c r="H168" i="1" s="1"/>
  <c r="I146" i="1"/>
  <c r="I161" i="1"/>
  <c r="C12" i="10"/>
  <c r="C13" i="10"/>
  <c r="C19" i="10"/>
  <c r="L249" i="1"/>
  <c r="L331" i="1"/>
  <c r="C23" i="10" s="1"/>
  <c r="L253" i="1"/>
  <c r="L267" i="1"/>
  <c r="C141" i="2" s="1"/>
  <c r="L268" i="1"/>
  <c r="L348" i="1"/>
  <c r="L349" i="1"/>
  <c r="I664" i="1"/>
  <c r="I669" i="1"/>
  <c r="L228" i="1"/>
  <c r="G661" i="1"/>
  <c r="I668" i="1"/>
  <c r="C4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F551" i="1" s="1"/>
  <c r="L521" i="1"/>
  <c r="F549" i="1" s="1"/>
  <c r="L522" i="1"/>
  <c r="F550" i="1" s="1"/>
  <c r="L525" i="1"/>
  <c r="G548" i="1" s="1"/>
  <c r="L526" i="1"/>
  <c r="G549" i="1" s="1"/>
  <c r="L527" i="1"/>
  <c r="G550" i="1" s="1"/>
  <c r="G551" i="1" s="1"/>
  <c r="L530" i="1"/>
  <c r="H548" i="1" s="1"/>
  <c r="L531" i="1"/>
  <c r="H549" i="1" s="1"/>
  <c r="L532" i="1"/>
  <c r="H550" i="1" s="1"/>
  <c r="K550" i="1" s="1"/>
  <c r="L535" i="1"/>
  <c r="I548" i="1" s="1"/>
  <c r="L536" i="1"/>
  <c r="I549" i="1" s="1"/>
  <c r="L537" i="1"/>
  <c r="I550" i="1" s="1"/>
  <c r="L540" i="1"/>
  <c r="J548" i="1" s="1"/>
  <c r="J551" i="1" s="1"/>
  <c r="L541" i="1"/>
  <c r="J549" i="1" s="1"/>
  <c r="L542" i="1"/>
  <c r="J550" i="1" s="1"/>
  <c r="E131" i="2"/>
  <c r="E130" i="2"/>
  <c r="K269" i="1"/>
  <c r="L269" i="1" s="1"/>
  <c r="J269" i="1"/>
  <c r="I269" i="1"/>
  <c r="H269" i="1"/>
  <c r="G269" i="1"/>
  <c r="F269" i="1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D55" i="2"/>
  <c r="E55" i="2"/>
  <c r="F55" i="2"/>
  <c r="E56" i="2"/>
  <c r="C57" i="2"/>
  <c r="E57" i="2"/>
  <c r="C58" i="2"/>
  <c r="D58" i="2"/>
  <c r="E58" i="2"/>
  <c r="F58" i="2"/>
  <c r="D59" i="2"/>
  <c r="D61" i="2" s="1"/>
  <c r="D62" i="2" s="1"/>
  <c r="C60" i="2"/>
  <c r="D60" i="2"/>
  <c r="E60" i="2"/>
  <c r="E61" i="2" s="1"/>
  <c r="E62" i="2" s="1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D80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C90" i="2" s="1"/>
  <c r="D87" i="2"/>
  <c r="D90" i="2" s="1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C102" i="2" s="1"/>
  <c r="D99" i="2"/>
  <c r="E99" i="2"/>
  <c r="F99" i="2"/>
  <c r="C100" i="2"/>
  <c r="D100" i="2"/>
  <c r="E100" i="2"/>
  <c r="F100" i="2"/>
  <c r="C101" i="2"/>
  <c r="D101" i="2"/>
  <c r="E101" i="2"/>
  <c r="F101" i="2"/>
  <c r="E109" i="2"/>
  <c r="C110" i="2"/>
  <c r="E110" i="2"/>
  <c r="C111" i="2"/>
  <c r="E111" i="2"/>
  <c r="C112" i="2"/>
  <c r="E112" i="2"/>
  <c r="C113" i="2"/>
  <c r="E113" i="2"/>
  <c r="D114" i="2"/>
  <c r="F114" i="2"/>
  <c r="G114" i="2"/>
  <c r="C118" i="2"/>
  <c r="C121" i="2"/>
  <c r="E121" i="2"/>
  <c r="C122" i="2"/>
  <c r="E122" i="2"/>
  <c r="E123" i="2"/>
  <c r="C124" i="2"/>
  <c r="E124" i="2"/>
  <c r="F127" i="2"/>
  <c r="G127" i="2"/>
  <c r="C129" i="2"/>
  <c r="E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G155" i="2" s="1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G158" i="2" s="1"/>
  <c r="C158" i="2"/>
  <c r="D158" i="2"/>
  <c r="E158" i="2"/>
  <c r="F158" i="2"/>
  <c r="B159" i="2"/>
  <c r="G159" i="2" s="1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G617" i="1" s="1"/>
  <c r="H19" i="1"/>
  <c r="G618" i="1" s="1"/>
  <c r="I19" i="1"/>
  <c r="F32" i="1"/>
  <c r="G32" i="1"/>
  <c r="H32" i="1"/>
  <c r="I32" i="1"/>
  <c r="F50" i="1"/>
  <c r="G621" i="1" s="1"/>
  <c r="G50" i="1"/>
  <c r="G622" i="1" s="1"/>
  <c r="H50" i="1"/>
  <c r="I50" i="1"/>
  <c r="I51" i="1" s="1"/>
  <c r="H619" i="1" s="1"/>
  <c r="F176" i="1"/>
  <c r="I176" i="1"/>
  <c r="F182" i="1"/>
  <c r="G182" i="1"/>
  <c r="G191" i="1" s="1"/>
  <c r="H182" i="1"/>
  <c r="I182" i="1"/>
  <c r="J182" i="1"/>
  <c r="J191" i="1" s="1"/>
  <c r="F187" i="1"/>
  <c r="F191" i="1" s="1"/>
  <c r="G187" i="1"/>
  <c r="H187" i="1"/>
  <c r="I187" i="1"/>
  <c r="F210" i="1"/>
  <c r="F256" i="1" s="1"/>
  <c r="F270" i="1" s="1"/>
  <c r="G210" i="1"/>
  <c r="G256" i="1" s="1"/>
  <c r="G270" i="1" s="1"/>
  <c r="H210" i="1"/>
  <c r="I210" i="1"/>
  <c r="I256" i="1" s="1"/>
  <c r="I270" i="1" s="1"/>
  <c r="J210" i="1"/>
  <c r="J256" i="1" s="1"/>
  <c r="J270" i="1" s="1"/>
  <c r="K210" i="1"/>
  <c r="K256" i="1" s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89" i="1"/>
  <c r="F337" i="1" s="1"/>
  <c r="F351" i="1" s="1"/>
  <c r="G289" i="1"/>
  <c r="G337" i="1" s="1"/>
  <c r="G351" i="1" s="1"/>
  <c r="H289" i="1"/>
  <c r="H337" i="1" s="1"/>
  <c r="H351" i="1" s="1"/>
  <c r="I289" i="1"/>
  <c r="F308" i="1"/>
  <c r="G308" i="1"/>
  <c r="H308" i="1"/>
  <c r="I308" i="1"/>
  <c r="F327" i="1"/>
  <c r="G327" i="1"/>
  <c r="H327" i="1"/>
  <c r="I327" i="1"/>
  <c r="F336" i="1"/>
  <c r="G336" i="1"/>
  <c r="L336" i="1" s="1"/>
  <c r="H336" i="1"/>
  <c r="I336" i="1"/>
  <c r="J336" i="1"/>
  <c r="J337" i="1" s="1"/>
  <c r="J351" i="1" s="1"/>
  <c r="K336" i="1"/>
  <c r="F361" i="1"/>
  <c r="G361" i="1"/>
  <c r="H361" i="1"/>
  <c r="I361" i="1"/>
  <c r="G633" i="1" s="1"/>
  <c r="J361" i="1"/>
  <c r="K361" i="1"/>
  <c r="I367" i="1"/>
  <c r="F368" i="1"/>
  <c r="G368" i="1"/>
  <c r="H368" i="1"/>
  <c r="I368" i="1"/>
  <c r="H633" i="1" s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6" i="1" s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G639" i="1" s="1"/>
  <c r="H445" i="1"/>
  <c r="I445" i="1"/>
  <c r="G641" i="1" s="1"/>
  <c r="F451" i="1"/>
  <c r="G451" i="1"/>
  <c r="H451" i="1"/>
  <c r="I451" i="1"/>
  <c r="F459" i="1"/>
  <c r="G459" i="1"/>
  <c r="G460" i="1" s="1"/>
  <c r="H639" i="1" s="1"/>
  <c r="H459" i="1"/>
  <c r="I459" i="1"/>
  <c r="I460" i="1" s="1"/>
  <c r="H641" i="1" s="1"/>
  <c r="F460" i="1"/>
  <c r="H460" i="1"/>
  <c r="F469" i="1"/>
  <c r="F475" i="1" s="1"/>
  <c r="H621" i="1" s="1"/>
  <c r="G469" i="1"/>
  <c r="G475" i="1" s="1"/>
  <c r="H622" i="1" s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F516" i="1"/>
  <c r="G516" i="1"/>
  <c r="H516" i="1"/>
  <c r="I516" i="1"/>
  <c r="F523" i="1"/>
  <c r="G523" i="1"/>
  <c r="H523" i="1"/>
  <c r="H544" i="1" s="1"/>
  <c r="I523" i="1"/>
  <c r="I544" i="1" s="1"/>
  <c r="J523" i="1"/>
  <c r="J544" i="1" s="1"/>
  <c r="K523" i="1"/>
  <c r="F528" i="1"/>
  <c r="G528" i="1"/>
  <c r="H528" i="1"/>
  <c r="I528" i="1"/>
  <c r="J528" i="1"/>
  <c r="K528" i="1"/>
  <c r="F533" i="1"/>
  <c r="G533" i="1"/>
  <c r="G544" i="1" s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9" i="1"/>
  <c r="G623" i="1"/>
  <c r="G624" i="1"/>
  <c r="H626" i="1"/>
  <c r="H627" i="1"/>
  <c r="H628" i="1"/>
  <c r="H629" i="1"/>
  <c r="H630" i="1"/>
  <c r="H631" i="1"/>
  <c r="H632" i="1"/>
  <c r="H634" i="1"/>
  <c r="H635" i="1"/>
  <c r="H636" i="1"/>
  <c r="H637" i="1"/>
  <c r="G638" i="1"/>
  <c r="H638" i="1"/>
  <c r="G640" i="1"/>
  <c r="H640" i="1"/>
  <c r="G642" i="1"/>
  <c r="H642" i="1"/>
  <c r="G643" i="1"/>
  <c r="H643" i="1"/>
  <c r="J643" i="1" s="1"/>
  <c r="G644" i="1"/>
  <c r="H644" i="1"/>
  <c r="G649" i="1"/>
  <c r="G650" i="1"/>
  <c r="J650" i="1" s="1"/>
  <c r="G651" i="1"/>
  <c r="H651" i="1"/>
  <c r="G652" i="1"/>
  <c r="H652" i="1"/>
  <c r="G653" i="1"/>
  <c r="H653" i="1"/>
  <c r="H654" i="1"/>
  <c r="J654" i="1" s="1"/>
  <c r="F31" i="2"/>
  <c r="C26" i="10"/>
  <c r="L327" i="1"/>
  <c r="L350" i="1"/>
  <c r="A31" i="12"/>
  <c r="A40" i="12"/>
  <c r="G161" i="2"/>
  <c r="E49" i="2"/>
  <c r="D18" i="13"/>
  <c r="C18" i="13" s="1"/>
  <c r="F102" i="2"/>
  <c r="D17" i="13"/>
  <c r="C17" i="13" s="1"/>
  <c r="G80" i="2"/>
  <c r="F77" i="2"/>
  <c r="F80" i="2" s="1"/>
  <c r="F61" i="2"/>
  <c r="F62" i="2" s="1"/>
  <c r="D49" i="2"/>
  <c r="G156" i="2"/>
  <c r="F49" i="2"/>
  <c r="F50" i="2" s="1"/>
  <c r="F18" i="2"/>
  <c r="G162" i="2"/>
  <c r="G160" i="2"/>
  <c r="G157" i="2"/>
  <c r="E143" i="2"/>
  <c r="G102" i="2"/>
  <c r="E102" i="2"/>
  <c r="F90" i="2"/>
  <c r="G61" i="2"/>
  <c r="D19" i="13"/>
  <c r="C19" i="13" s="1"/>
  <c r="D14" i="13"/>
  <c r="C14" i="13" s="1"/>
  <c r="E13" i="13"/>
  <c r="C13" i="13" s="1"/>
  <c r="E77" i="2"/>
  <c r="E80" i="2" s="1"/>
  <c r="H111" i="1"/>
  <c r="J640" i="1"/>
  <c r="J638" i="1"/>
  <c r="K604" i="1"/>
  <c r="G647" i="1" s="1"/>
  <c r="J570" i="1"/>
  <c r="K570" i="1"/>
  <c r="L432" i="1"/>
  <c r="L418" i="1"/>
  <c r="I168" i="1"/>
  <c r="J642" i="1"/>
  <c r="H475" i="1"/>
  <c r="H623" i="1" s="1"/>
  <c r="J623" i="1" s="1"/>
  <c r="I475" i="1"/>
  <c r="H624" i="1" s="1"/>
  <c r="J624" i="1" s="1"/>
  <c r="J139" i="1"/>
  <c r="F570" i="1"/>
  <c r="I551" i="1"/>
  <c r="K549" i="1"/>
  <c r="G22" i="2"/>
  <c r="K544" i="1"/>
  <c r="C29" i="10"/>
  <c r="H139" i="1"/>
  <c r="L392" i="1"/>
  <c r="A13" i="12"/>
  <c r="F22" i="13"/>
  <c r="C22" i="13" s="1"/>
  <c r="H570" i="1"/>
  <c r="L559" i="1"/>
  <c r="H191" i="1"/>
  <c r="L308" i="1"/>
  <c r="E16" i="13"/>
  <c r="C49" i="2"/>
  <c r="J644" i="1"/>
  <c r="L569" i="1"/>
  <c r="I570" i="1"/>
  <c r="J635" i="1"/>
  <c r="G36" i="2"/>
  <c r="L564" i="1"/>
  <c r="C137" i="2"/>
  <c r="C16" i="13"/>
  <c r="J475" i="1" l="1"/>
  <c r="H625" i="1" s="1"/>
  <c r="L400" i="1"/>
  <c r="C138" i="2" s="1"/>
  <c r="J639" i="1"/>
  <c r="L543" i="1"/>
  <c r="H551" i="1"/>
  <c r="L528" i="1"/>
  <c r="K548" i="1"/>
  <c r="K551" i="1" s="1"/>
  <c r="L523" i="1"/>
  <c r="J648" i="1"/>
  <c r="K597" i="1"/>
  <c r="G646" i="1" s="1"/>
  <c r="C11" i="10"/>
  <c r="L246" i="1"/>
  <c r="H659" i="1" s="1"/>
  <c r="K502" i="1"/>
  <c r="J633" i="1"/>
  <c r="C17" i="10"/>
  <c r="C16" i="10"/>
  <c r="E18" i="2"/>
  <c r="D31" i="2"/>
  <c r="D50" i="2" s="1"/>
  <c r="C69" i="2"/>
  <c r="J622" i="1"/>
  <c r="J621" i="1"/>
  <c r="K337" i="1"/>
  <c r="K351" i="1" s="1"/>
  <c r="C32" i="10"/>
  <c r="E8" i="13"/>
  <c r="C8" i="13" s="1"/>
  <c r="C21" i="10"/>
  <c r="H646" i="1"/>
  <c r="J646" i="1" s="1"/>
  <c r="H256" i="1"/>
  <c r="H270" i="1" s="1"/>
  <c r="E31" i="2"/>
  <c r="E50" i="2" s="1"/>
  <c r="D18" i="2"/>
  <c r="C77" i="2"/>
  <c r="C80" i="2" s="1"/>
  <c r="H25" i="13"/>
  <c r="C25" i="13" s="1"/>
  <c r="C131" i="2"/>
  <c r="K270" i="1"/>
  <c r="H660" i="1"/>
  <c r="D29" i="13"/>
  <c r="C29" i="13" s="1"/>
  <c r="G660" i="1"/>
  <c r="L255" i="1"/>
  <c r="C108" i="2"/>
  <c r="F661" i="1"/>
  <c r="I661" i="1" s="1"/>
  <c r="C123" i="2"/>
  <c r="D15" i="13"/>
  <c r="C15" i="13" s="1"/>
  <c r="H51" i="1"/>
  <c r="H618" i="1" s="1"/>
  <c r="J618" i="1" s="1"/>
  <c r="E108" i="2"/>
  <c r="E114" i="2" s="1"/>
  <c r="C117" i="2"/>
  <c r="L210" i="1"/>
  <c r="F659" i="1" s="1"/>
  <c r="G51" i="1"/>
  <c r="H617" i="1" s="1"/>
  <c r="J617" i="1" s="1"/>
  <c r="F660" i="1"/>
  <c r="D144" i="2"/>
  <c r="C18" i="10"/>
  <c r="E127" i="2"/>
  <c r="C10" i="10"/>
  <c r="D12" i="13"/>
  <c r="C12" i="13" s="1"/>
  <c r="C120" i="2"/>
  <c r="C15" i="10"/>
  <c r="C109" i="2"/>
  <c r="D5" i="13"/>
  <c r="C5" i="13" s="1"/>
  <c r="C61" i="2"/>
  <c r="C62" i="2" s="1"/>
  <c r="F111" i="1"/>
  <c r="C35" i="10"/>
  <c r="C31" i="2"/>
  <c r="C50" i="2" s="1"/>
  <c r="F51" i="1"/>
  <c r="H616" i="1" s="1"/>
  <c r="J616" i="1" s="1"/>
  <c r="C18" i="2"/>
  <c r="L337" i="1"/>
  <c r="L351" i="1" s="1"/>
  <c r="G632" i="1" s="1"/>
  <c r="J632" i="1" s="1"/>
  <c r="C24" i="10"/>
  <c r="G659" i="1"/>
  <c r="G31" i="13"/>
  <c r="G33" i="13" s="1"/>
  <c r="I337" i="1"/>
  <c r="I351" i="1" s="1"/>
  <c r="J649" i="1"/>
  <c r="L406" i="1"/>
  <c r="C139" i="2" s="1"/>
  <c r="C140" i="2" s="1"/>
  <c r="L570" i="1"/>
  <c r="I191" i="1"/>
  <c r="E90" i="2"/>
  <c r="E103" i="2" s="1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F33" i="13" s="1"/>
  <c r="J192" i="1"/>
  <c r="G645" i="1" s="1"/>
  <c r="F103" i="2"/>
  <c r="H192" i="1"/>
  <c r="G628" i="1" s="1"/>
  <c r="J628" i="1" s="1"/>
  <c r="G168" i="1"/>
  <c r="C39" i="10" s="1"/>
  <c r="G139" i="1"/>
  <c r="F139" i="1"/>
  <c r="G62" i="2"/>
  <c r="G103" i="2" s="1"/>
  <c r="G42" i="2"/>
  <c r="J50" i="1"/>
  <c r="G16" i="2"/>
  <c r="J19" i="1"/>
  <c r="G620" i="1" s="1"/>
  <c r="G18" i="2"/>
  <c r="F544" i="1"/>
  <c r="H433" i="1"/>
  <c r="J619" i="1"/>
  <c r="D102" i="2"/>
  <c r="D103" i="2" s="1"/>
  <c r="I139" i="1"/>
  <c r="I192" i="1" s="1"/>
  <c r="G629" i="1" s="1"/>
  <c r="J629" i="1" s="1"/>
  <c r="A22" i="12"/>
  <c r="G49" i="2"/>
  <c r="G50" i="2" s="1"/>
  <c r="H647" i="1"/>
  <c r="J647" i="1" s="1"/>
  <c r="J651" i="1"/>
  <c r="J641" i="1"/>
  <c r="G570" i="1"/>
  <c r="I433" i="1"/>
  <c r="G433" i="1"/>
  <c r="I662" i="1"/>
  <c r="C27" i="10"/>
  <c r="G634" i="1"/>
  <c r="J634" i="1" s="1"/>
  <c r="L407" i="1" l="1"/>
  <c r="G636" i="1" s="1"/>
  <c r="J636" i="1" s="1"/>
  <c r="H645" i="1"/>
  <c r="J645" i="1" s="1"/>
  <c r="L544" i="1"/>
  <c r="C36" i="10"/>
  <c r="C143" i="2"/>
  <c r="H33" i="13"/>
  <c r="F192" i="1"/>
  <c r="G626" i="1" s="1"/>
  <c r="J626" i="1" s="1"/>
  <c r="E33" i="13"/>
  <c r="D35" i="13" s="1"/>
  <c r="H663" i="1"/>
  <c r="H671" i="1" s="1"/>
  <c r="C6" i="10" s="1"/>
  <c r="C103" i="2"/>
  <c r="I660" i="1"/>
  <c r="G663" i="1"/>
  <c r="G666" i="1" s="1"/>
  <c r="D31" i="13"/>
  <c r="C31" i="13" s="1"/>
  <c r="C114" i="2"/>
  <c r="C127" i="2"/>
  <c r="F663" i="1"/>
  <c r="F671" i="1" s="1"/>
  <c r="C4" i="10" s="1"/>
  <c r="E144" i="2"/>
  <c r="L256" i="1"/>
  <c r="L270" i="1" s="1"/>
  <c r="G631" i="1" s="1"/>
  <c r="J631" i="1" s="1"/>
  <c r="C28" i="10"/>
  <c r="D22" i="10" s="1"/>
  <c r="I659" i="1"/>
  <c r="G630" i="1"/>
  <c r="J630" i="1" s="1"/>
  <c r="G192" i="1"/>
  <c r="G627" i="1" s="1"/>
  <c r="J627" i="1" s="1"/>
  <c r="G625" i="1"/>
  <c r="J625" i="1" s="1"/>
  <c r="J51" i="1"/>
  <c r="H620" i="1" s="1"/>
  <c r="J620" i="1" s="1"/>
  <c r="C38" i="10"/>
  <c r="I663" i="1" l="1"/>
  <c r="I671" i="1" s="1"/>
  <c r="C7" i="10" s="1"/>
  <c r="D33" i="13"/>
  <c r="D36" i="13" s="1"/>
  <c r="H666" i="1"/>
  <c r="G671" i="1"/>
  <c r="C5" i="10" s="1"/>
  <c r="C144" i="2"/>
  <c r="F666" i="1"/>
  <c r="D27" i="10"/>
  <c r="D10" i="10"/>
  <c r="D13" i="10"/>
  <c r="D18" i="10"/>
  <c r="D23" i="10"/>
  <c r="D26" i="10"/>
  <c r="D15" i="10"/>
  <c r="D24" i="10"/>
  <c r="D11" i="10"/>
  <c r="D17" i="10"/>
  <c r="C30" i="10"/>
  <c r="D20" i="10"/>
  <c r="D25" i="10"/>
  <c r="D21" i="10"/>
  <c r="D12" i="10"/>
  <c r="D19" i="10"/>
  <c r="D16" i="10"/>
  <c r="H655" i="1"/>
  <c r="C41" i="10"/>
  <c r="D38" i="10" s="1"/>
  <c r="I666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<sst xmlns="http://schemas.openxmlformats.org/spreadsheetml/2006/main" count="3955" uniqueCount="913">
  <si>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</si>
  <si>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</si>
  <si>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</si>
  <si>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</si>
  <si>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</si>
  <si>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</si>
  <si>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</si>
  <si>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</si>
  <si>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</si>
  <si>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</si>
  <si>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</si>
  <si>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</si>
  <si>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</si>
  <si>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</si>
  <si>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</si>
  <si>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</si>
  <si>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</si>
  <si>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</si>
  <si>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</si>
  <si>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</si>
  <si>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</si>
  <si>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</si>
  <si>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</si>
  <si>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</si>
  <si>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</si>
  <si>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</si>
  <si>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</si>
  <si>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</si>
  <si>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</si>
  <si>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</si>
  <si>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</si>
  <si>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</si>
  <si>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</si>
  <si>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</si>
  <si>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</si>
  <si>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</si>
  <si>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</si>
  <si>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</si>
  <si>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</si>
  <si>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</si>
  <si>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</si>
  <si>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</si>
  <si>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</si>
  <si>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</si>
  <si>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</si>
  <si>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</si>
  <si>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</si>
  <si>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</si>
  <si>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</si>
  <si>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</si>
  <si>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</si>
  <si>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</si>
  <si>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</si>
  <si>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</si>
  <si>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</si>
  <si>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</si>
  <si>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</si>
  <si>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</si>
  <si>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</si>
  <si>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</si>
  <si>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</si>
  <si>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</si>
  <si>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</si>
  <si>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</si>
  <si>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</si>
  <si>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</si>
  <si>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</si>
  <si>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</si>
  <si>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</si>
  <si>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</si>
  <si>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</si>
  <si>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</si>
  <si>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</si>
  <si>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</si>
  <si>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</si>
  <si>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</si>
  <si>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</si>
  <si>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</si>
  <si>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</si>
  <si>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</si>
  <si>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</si>
  <si>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</si>
  <si>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</si>
  <si>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</si>
  <si>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</si>
  <si>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</si>
  <si>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</si>
  <si>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</si>
  <si>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</si>
  <si>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</si>
  <si>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</si>
  <si>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</si>
  <si>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</si>
  <si>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</si>
  <si>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</si>
  <si>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</si>
  <si>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</si>
  <si>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</si>
  <si>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</si>
  <si>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</si>
  <si>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</si>
  <si>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</si>
  <si>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</si>
  <si>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</si>
  <si>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</si>
  <si>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</si>
  <si>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</si>
  <si>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</si>
  <si>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</si>
  <si>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</si>
  <si>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</si>
  <si>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</si>
  <si>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</si>
  <si>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</si>
  <si>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</si>
  <si>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</si>
  <si>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</si>
  <si>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</si>
  <si>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</si>
  <si>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</si>
  <si>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</si>
  <si>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</si>
  <si>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</si>
  <si>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</si>
  <si>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</si>
  <si>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</si>
  <si>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</si>
  <si>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</si>
  <si>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</si>
  <si>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</si>
  <si>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</si>
  <si>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</si>
  <si>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</si>
  <si>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</si>
  <si>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</si>
  <si>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</si>
  <si>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</si>
  <si>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</si>
  <si>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</si>
  <si>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</si>
  <si>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</si>
  <si>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</si>
  <si>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</si>
  <si>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</si>
  <si>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</si>
  <si>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</si>
  <si>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</si>
  <si>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</si>
  <si>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</si>
  <si>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</si>
  <si>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</si>
  <si>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</si>
  <si>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</si>
  <si>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</si>
  <si>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</si>
  <si>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</si>
  <si>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</si>
  <si>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</si>
  <si>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</si>
  <si>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</si>
  <si>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</si>
  <si>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</si>
  <si>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</si>
  <si>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</si>
  <si>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</si>
  <si>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</si>
  <si>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</si>
  <si>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</si>
  <si>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</si>
  <si>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</si>
  <si>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</si>
  <si>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</si>
  <si>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</si>
  <si>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</si>
  <si>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</si>
  <si>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</si>
  <si>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</si>
  <si>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</si>
  <si>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</si>
  <si>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</si>
  <si>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</si>
  <si>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</si>
  <si>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</si>
  <si>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</si>
  <si>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</si>
  <si>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</si>
  <si>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</si>
  <si>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</si>
  <si>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</si>
  <si>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</si>
  <si>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</si>
  <si>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</si>
  <si>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</si>
  <si>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</si>
  <si>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</si>
  <si>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</si>
  <si>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</si>
  <si>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</si>
  <si>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</si>
  <si>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</si>
  <si>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</si>
  <si>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</si>
  <si>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</si>
  <si>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</si>
  <si>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</si>
  <si>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</si>
  <si>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</si>
  <si>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</si>
  <si>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</si>
  <si>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</si>
  <si>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</si>
  <si>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</si>
  <si>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</si>
  <si>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</si>
  <si>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</si>
  <si>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</si>
  <si>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</si>
  <si>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</si>
  <si>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</si>
  <si>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</si>
  <si>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</si>
  <si>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</si>
  <si>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</si>
  <si>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</si>
  <si>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</si>
  <si>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</si>
  <si>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</si>
  <si>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</si>
  <si>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</si>
  <si>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</si>
  <si>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</si>
  <si>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</si>
  <si>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</si>
  <si>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</si>
  <si>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</si>
  <si>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</si>
  <si>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</si>
  <si>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</si>
  <si>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</si>
  <si>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</si>
  <si>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</si>
  <si>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</si>
  <si>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</si>
  <si>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</si>
  <si>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</si>
  <si>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</si>
  <si>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</si>
  <si>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</si>
  <si>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</si>
  <si>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</si>
  <si>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</si>
  <si>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</si>
  <si>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</si>
  <si>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</si>
  <si>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</si>
  <si>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</si>
  <si>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</si>
  <si>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</si>
  <si>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</si>
  <si>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</si>
  <si>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</si>
  <si>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</si>
  <si>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</si>
  <si>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</si>
  <si>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</si>
  <si>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</si>
  <si>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</si>
  <si>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</si>
  <si>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</si>
  <si>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</si>
  <si>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</si>
  <si>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</si>
  <si>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</si>
  <si>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</si>
  <si>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</si>
  <si>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</si>
  <si>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</si>
  <si>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</si>
  <si>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</si>
  <si>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</si>
  <si>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</si>
  <si>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</si>
  <si>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</si>
  <si>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</si>
  <si>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</si>
  <si>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</si>
  <si>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</si>
  <si>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</si>
  <si>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</si>
  <si>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</si>
  <si>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</si>
  <si>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</si>
  <si>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</si>
  <si>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</si>
  <si>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</si>
  <si>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</si>
  <si>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</si>
  <si>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</si>
  <si>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</si>
  <si>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</si>
  <si>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</si>
  <si>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</si>
  <si>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</si>
  <si>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</si>
  <si>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</si>
  <si>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</si>
  <si>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</si>
  <si>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</si>
  <si>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</si>
  <si>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</si>
  <si>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</si>
  <si>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</si>
  <si>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</si>
  <si>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</si>
  <si>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</si>
  <si>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</si>
  <si>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</si>
  <si>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</si>
  <si>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</si>
  <si>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</si>
  <si>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</si>
  <si>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</si>
  <si>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</si>
  <si>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</si>
  <si>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</si>
  <si>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</si>
  <si>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</si>
  <si>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</si>
  <si>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</si>
  <si>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</si>
  <si>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</si>
  <si>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</si>
  <si>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</si>
  <si>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</si>
  <si>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</si>
  <si>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</si>
  <si>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</si>
  <si>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</si>
  <si>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</si>
  <si>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</si>
  <si>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</si>
  <si>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</si>
  <si>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</si>
  <si>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</si>
  <si>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</si>
  <si>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</si>
  <si>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</si>
  <si>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</si>
  <si>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</si>
  <si>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</si>
  <si>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</si>
  <si>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</si>
  <si>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</si>
  <si>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</si>
  <si>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</si>
  <si>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</si>
  <si>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</si>
  <si>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</si>
  <si>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</si>
  <si>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</si>
  <si>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</si>
  <si>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</si>
  <si>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</si>
  <si>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</si>
  <si>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</si>
  <si>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</si>
  <si>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</si>
  <si>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</si>
  <si>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</si>
  <si>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</si>
  <si>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</si>
  <si>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</si>
  <si>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</si>
  <si>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</si>
  <si>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</si>
  <si>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</si>
  <si>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</si>
  <si>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</si>
  <si>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</si>
  <si>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</si>
  <si>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</si>
  <si>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</si>
  <si>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</si>
  <si>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</si>
  <si>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</si>
  <si>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</si>
  <si>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</si>
  <si>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</si>
  <si>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</si>
  <si>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</si>
  <si>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</si>
  <si>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</si>
  <si>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</si>
  <si>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</si>
  <si>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</si>
  <si>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</si>
  <si>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</si>
  <si>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</si>
  <si>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</si>
  <si>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</si>
  <si>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</si>
  <si>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</si>
  <si>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</si>
  <si>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</si>
  <si>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</si>
  <si>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</si>
  <si>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</si>
  <si>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</si>
  <si>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</si>
  <si>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</si>
  <si>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</si>
  <si>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</si>
  <si>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</si>
  <si>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</si>
  <si>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</si>
  <si>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</si>
  <si>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</si>
  <si>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</si>
  <si>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</si>
  <si>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</si>
  <si>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</si>
  <si>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</si>
  <si>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</si>
  <si>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</si>
  <si>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</si>
  <si>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</si>
  <si>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</si>
  <si>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</si>
  <si>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</si>
  <si>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</si>
  <si>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</si>
  <si>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</si>
  <si>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</si>
  <si>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</si>
  <si>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</si>
  <si>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</si>
  <si>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</si>
  <si>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</si>
  <si>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</si>
  <si>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</si>
  <si>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</si>
  <si>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</si>
  <si>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</si>
  <si>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</si>
  <si>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</si>
  <si>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</si>
  <si>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</si>
  <si>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</si>
  <si>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</si>
  <si>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</si>
  <si>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</si>
  <si>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</si>
  <si>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</si>
  <si>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</si>
  <si>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</si>
  <si>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</si>
  <si>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</si>
  <si>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</si>
  <si>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</si>
  <si>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</si>
  <si>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</si>
  <si>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</si>
  <si>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</si>
  <si>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</si>
  <si>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</si>
  <si>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</si>
  <si>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</si>
  <si>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</si>
  <si>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</si>
  <si>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</si>
  <si>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</si>
  <si>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</si>
  <si>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</si>
  <si>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</si>
  <si>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</si>
  <si>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</si>
  <si>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</si>
  <si>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</si>
  <si>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</si>
  <si>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</si>
  <si>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</si>
  <si>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</si>
  <si>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</si>
  <si>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</si>
  <si>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</si>
  <si>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</si>
  <si>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</si>
  <si>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</si>
  <si>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</si>
  <si>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</si>
  <si>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</si>
  <si>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</si>
  <si>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</si>
  <si>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</si>
  <si>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</si>
  <si>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</si>
  <si>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</si>
  <si>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</si>
  <si>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</si>
  <si>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</si>
  <si>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</si>
  <si>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</si>
  <si>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</si>
  <si>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</si>
  <si>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</si>
  <si>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</si>
  <si>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</si>
  <si>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</si>
  <si>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</si>
  <si>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</si>
  <si>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</si>
  <si>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</si>
  <si>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</si>
  <si>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</si>
  <si>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</si>
  <si>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</si>
  <si>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</si>
  <si>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</si>
  <si>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</si>
  <si>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</si>
  <si>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</si>
  <si>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</si>
  <si>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</si>
  <si>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</si>
  <si>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</si>
  <si>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</si>
  <si>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</si>
  <si>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</si>
  <si>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</si>
  <si>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</si>
  <si>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</si>
  <si>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</si>
  <si>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</si>
  <si>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</si>
  <si>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</si>
  <si>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</si>
  <si>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</si>
  <si>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</si>
  <si>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</si>
  <si>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</si>
  <si>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</si>
  <si>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</si>
  <si>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</si>
  <si>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</si>
  <si>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</si>
  <si>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</si>
  <si>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</si>
  <si>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</si>
  <si>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</si>
  <si>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</si>
  <si>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</si>
  <si>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</si>
  <si>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</si>
  <si>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</si>
  <si>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</si>
  <si>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</si>
  <si>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</si>
  <si>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</si>
  <si>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</si>
  <si>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</si>
  <si>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</si>
  <si>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</si>
  <si>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</si>
  <si>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</si>
  <si>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</si>
  <si>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</si>
  <si>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</si>
  <si>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</si>
  <si>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</si>
  <si>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</si>
  <si>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</si>
  <si>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</si>
  <si>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</si>
  <si>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</si>
  <si>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</si>
  <si>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</si>
  <si>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</si>
  <si>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</si>
  <si>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</si>
  <si>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</si>
  <si>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</si>
  <si>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</si>
  <si>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</si>
  <si>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</si>
  <si>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</si>
  <si>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</si>
  <si>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</si>
  <si>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</si>
  <si>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</si>
  <si>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</si>
  <si>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</si>
  <si>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</si>
  <si>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</si>
  <si>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</si>
  <si>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</si>
  <si>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</si>
  <si>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</si>
  <si>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</si>
  <si>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</si>
  <si>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</si>
  <si>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</si>
  <si>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</si>
  <si>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</si>
  <si>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</si>
  <si>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</si>
  <si>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</si>
  <si>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</si>
  <si>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</si>
  <si>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</si>
  <si>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</si>
  <si>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</si>
  <si>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</si>
  <si>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</si>
  <si>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</si>
  <si>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</si>
  <si>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</si>
  <si>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</si>
  <si>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</si>
  <si>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</si>
  <si>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</si>
  <si>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</si>
  <si>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</si>
  <si>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</si>
  <si>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</si>
  <si>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</si>
  <si>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</si>
  <si>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</si>
  <si>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</si>
  <si>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</si>
  <si>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</si>
  <si>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</si>
  <si>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</si>
  <si>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</si>
  <si>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</si>
  <si>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</si>
  <si>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</si>
  <si>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</si>
  <si>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</si>
  <si>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</si>
  <si>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</si>
  <si>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</si>
  <si>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</si>
  <si>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</si>
  <si>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</si>
  <si>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</si>
  <si>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</si>
  <si>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</si>
  <si>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</si>
  <si>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</si>
  <si>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</si>
  <si>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</si>
  <si>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</si>
  <si>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</si>
  <si>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</si>
  <si>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</si>
  <si>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</si>
  <si>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</si>
  <si>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</si>
  <si>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</si>
  <si>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</si>
  <si>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</si>
  <si>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</si>
  <si>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</si>
  <si>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</si>
  <si>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</si>
  <si>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</si>
  <si>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</si>
  <si>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</si>
  <si>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</si>
  <si>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</si>
  <si>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</si>
  <si>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</si>
  <si>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</si>
  <si>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</si>
  <si>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</si>
  <si>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</si>
  <si>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</si>
  <si>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</si>
  <si>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</si>
  <si>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</si>
  <si>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</si>
  <si>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</si>
  <si>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</si>
  <si>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</si>
  <si>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</si>
  <si>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</si>
  <si>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</si>
  <si>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</si>
  <si>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</si>
  <si>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</si>
  <si>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</si>
  <si>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</si>
  <si>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</si>
  <si>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</si>
  <si>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</si>
  <si>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</si>
  <si>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</si>
  <si>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</si>
  <si>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</si>
  <si>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</si>
  <si>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</si>
  <si>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</si>
  <si>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</si>
  <si>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</si>
  <si>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</si>
  <si>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</si>
  <si>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</si>
  <si>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</si>
  <si>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</si>
  <si>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</si>
  <si>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</si>
  <si>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</si>
  <si>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</si>
  <si>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</si>
  <si>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</si>
  <si>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</si>
  <si>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</si>
  <si>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</si>
  <si>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</si>
  <si>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</si>
  <si>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</si>
  <si>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</si>
  <si>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</si>
  <si>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</si>
  <si>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</si>
  <si>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</si>
  <si>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</si>
  <si>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</si>
  <si>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</si>
  <si>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</si>
  <si>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</si>
  <si>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</si>
  <si>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</si>
  <si>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</si>
  <si>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</si>
  <si>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</si>
  <si>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</si>
  <si>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</si>
  <si>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</si>
  <si>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</si>
  <si>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</si>
  <si>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</si>
  <si>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</si>
  <si>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</si>
  <si>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</si>
  <si>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</si>
  <si>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</si>
  <si>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</si>
  <si>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</si>
  <si>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</si>
  <si>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</si>
  <si>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</si>
  <si>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</si>
  <si>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</si>
  <si>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</si>
  <si>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</si>
  <si>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</si>
  <si>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</si>
  <si>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</si>
  <si>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</si>
  <si>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</si>
  <si>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</si>
  <si>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</si>
  <si>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</si>
  <si>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</si>
  <si>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</si>
  <si>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</si>
  <si>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</si>
  <si>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</si>
  <si>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</si>
  <si>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</si>
  <si>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</si>
  <si>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</si>
  <si>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</si>
  <si>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</si>
  <si>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</si>
  <si>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</si>
  <si>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</si>
  <si>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</si>
  <si>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</si>
  <si>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</si>
  <si>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</si>
  <si>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</si>
  <si>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</si>
  <si>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</si>
  <si>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</si>
  <si>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</si>
  <si>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</si>
  <si>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</si>
  <si>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</si>
  <si>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</si>
  <si>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</si>
  <si>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</si>
  <si>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</si>
  <si>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</si>
  <si>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</si>
  <si>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</si>
  <si>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</si>
  <si>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</si>
  <si>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</si>
  <si>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</si>
  <si>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</si>
  <si>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</si>
  <si>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</si>
  <si>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</si>
  <si>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</si>
  <si>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</si>
  <si>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</si>
  <si>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</si>
  <si>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</si>
  <si>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</si>
  <si>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</si>
  <si>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</si>
  <si>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</si>
  <si>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</si>
  <si>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</si>
  <si>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</si>
  <si>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</si>
  <si>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</si>
  <si>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</si>
  <si>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</si>
  <si>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</si>
  <si>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</si>
  <si>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</si>
  <si>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</si>
  <si>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</si>
  <si>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</si>
  <si>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</si>
  <si>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</si>
  <si>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</si>
  <si>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</si>
  <si>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</si>
  <si>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</si>
  <si>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</si>
  <si>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</si>
  <si>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</si>
  <si>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</si>
  <si>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</si>
  <si>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</si>
  <si>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</si>
  <si>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</si>
  <si>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</si>
  <si>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</si>
  <si>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</si>
  <si>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</si>
  <si>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</si>
  <si>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</si>
  <si>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</si>
  <si>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</si>
  <si>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</si>
  <si>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</si>
  <si>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</si>
  <si>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</si>
  <si>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</si>
  <si>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</si>
  <si>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</si>
  <si>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</si>
  <si>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</si>
  <si>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</si>
  <si>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</si>
  <si>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</si>
  <si>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</si>
  <si>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</si>
  <si>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</si>
  <si>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</si>
  <si>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</si>
  <si>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</si>
  <si>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</si>
  <si>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</si>
  <si>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</si>
  <si>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</si>
  <si>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</si>
  <si>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</si>
  <si>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</si>
  <si>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</si>
  <si>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</si>
  <si>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</si>
  <si>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</si>
  <si>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</si>
  <si>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</si>
  <si>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</si>
  <si>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</si>
  <si>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</si>
  <si>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</si>
  <si>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</si>
  <si>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</si>
  <si>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</si>
  <si>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</si>
  <si>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</si>
  <si>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</si>
  <si>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</si>
  <si>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</si>
  <si>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</si>
  <si>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</si>
  <si>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</si>
  <si>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</si>
  <si>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</si>
  <si>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</si>
  <si>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</si>
  <si>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</si>
  <si>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</si>
  <si>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</si>
  <si>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</si>
  <si>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</si>
  <si>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</si>
  <si>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</si>
  <si>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</si>
  <si>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</si>
  <si>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</si>
  <si>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Chichester School District</t>
  </si>
  <si>
    <t>08/03</t>
  </si>
  <si>
    <t>08/17</t>
  </si>
  <si>
    <t>Negative amount in Other Income is for Fair Market Value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</si>
</sst>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zoomScale="75" zoomScaleNormal="75" workbookViewId="0">
      <pane xSplit="5" ySplit="3" topLeftCell="F639" activePane="bottomRight" state="frozen"/>
      <selection pane="topRight" activeCell="F1" sqref="F1"/>
      <selection pane="bottomLeft" activeCell="A4" sqref="A4"/>
      <selection pane="bottomRight" activeCell="C3" sqref="C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99</v>
      </c>
      <c r="C2" s="21">
        <v>99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73548.61</v>
      </c>
      <c r="G9" s="18"/>
      <c r="H9" s="18"/>
      <c r="I9" s="18"/>
      <c r="J9" s="67">
        <f>SUM(I438)</f>
        <v>126874.37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1696.42</v>
      </c>
      <c r="G12" s="18">
        <v>1034.54</v>
      </c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74836.63</v>
      </c>
      <c r="G13" s="18">
        <v>5392.06</v>
      </c>
      <c r="H13" s="18">
        <v>2880.18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0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4231.91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1192.8499999999999</v>
      </c>
      <c r="G17" s="18">
        <v>15.7</v>
      </c>
      <c r="H17" s="18">
        <v>0</v>
      </c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151274.51</v>
      </c>
      <c r="G19" s="41">
        <f>SUM(G9:G18)</f>
        <v>10674.210000000001</v>
      </c>
      <c r="H19" s="41">
        <f>SUM(H9:H18)</f>
        <v>2880.18</v>
      </c>
      <c r="I19" s="41">
        <f>SUM(I9:I18)</f>
        <v>0</v>
      </c>
      <c r="J19" s="41">
        <f>SUM(J9:J18)</f>
        <v>126874.37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 t="s">
        <v>287</v>
      </c>
      <c r="G22" s="18" t="s">
        <v>287</v>
      </c>
      <c r="H22" s="18">
        <v>2730.96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61335.69</v>
      </c>
      <c r="G23" s="18">
        <v>674.21</v>
      </c>
      <c r="H23" s="18">
        <v>149.22</v>
      </c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0</v>
      </c>
      <c r="G24" s="18">
        <v>0</v>
      </c>
      <c r="H24" s="18">
        <v>0</v>
      </c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7548.04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64073.279999999999</v>
      </c>
      <c r="G29" s="18"/>
      <c r="H29" s="18">
        <v>0</v>
      </c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/>
      <c r="H30" s="18">
        <v>0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132957.01</v>
      </c>
      <c r="G32" s="41">
        <f>SUM(G22:G31)</f>
        <v>674.21</v>
      </c>
      <c r="H32" s="41">
        <f>SUM(H22:H31)</f>
        <v>2880.18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10000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126874.37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18317.5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18317.5</v>
      </c>
      <c r="G50" s="41">
        <f>SUM(G35:G49)</f>
        <v>10000</v>
      </c>
      <c r="H50" s="41">
        <f>SUM(H35:H49)</f>
        <v>0</v>
      </c>
      <c r="I50" s="41">
        <f>SUM(I35:I49)</f>
        <v>0</v>
      </c>
      <c r="J50" s="41">
        <f>SUM(J35:J49)</f>
        <v>126874.37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151274.51</v>
      </c>
      <c r="G51" s="41">
        <f>G50+G32</f>
        <v>10674.21</v>
      </c>
      <c r="H51" s="41">
        <f>H50+H32</f>
        <v>2880.18</v>
      </c>
      <c r="I51" s="41">
        <f>I50+I32</f>
        <v>0</v>
      </c>
      <c r="J51" s="41">
        <f>J50+J32</f>
        <v>126874.37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3355158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3355158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0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0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0</v>
      </c>
      <c r="G95" s="18"/>
      <c r="H95" s="18"/>
      <c r="I95" s="18"/>
      <c r="J95" s="18">
        <v>3184.93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53279.62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>
        <v>0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0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23056</v>
      </c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0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653.07000000000005</v>
      </c>
      <c r="G109" s="18"/>
      <c r="H109" s="18"/>
      <c r="I109" s="18"/>
      <c r="J109" s="18">
        <v>-6742.92</v>
      </c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23709.07</v>
      </c>
      <c r="G110" s="41">
        <f>SUM(G95:G109)</f>
        <v>53279.62</v>
      </c>
      <c r="H110" s="41">
        <f>SUM(H95:H109)</f>
        <v>0</v>
      </c>
      <c r="I110" s="41">
        <f>SUM(I95:I109)</f>
        <v>0</v>
      </c>
      <c r="J110" s="41">
        <f>SUM(J95:J109)</f>
        <v>-3557.9900000000002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3378867.07</v>
      </c>
      <c r="G111" s="41">
        <f>G59+G110</f>
        <v>53279.62</v>
      </c>
      <c r="H111" s="41">
        <f>H59+H78+H93+H110</f>
        <v>0</v>
      </c>
      <c r="I111" s="41">
        <f>I59+I110</f>
        <v>0</v>
      </c>
      <c r="J111" s="41">
        <f>J59+J110</f>
        <v>-3557.9900000000002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908770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588167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1496937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26016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47722.87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1047.58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>
        <v>0</v>
      </c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73738.87</v>
      </c>
      <c r="G135" s="41">
        <f>SUM(G122:G134)</f>
        <v>1047.58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1570675.87</v>
      </c>
      <c r="G139" s="41">
        <f>G120+SUM(G135:G136)</f>
        <v>1047.58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18778.73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32194.94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29740.79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42953.73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>
        <v>0</v>
      </c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42953.73</v>
      </c>
      <c r="G161" s="41">
        <f>SUM(G149:G160)</f>
        <v>29740.79</v>
      </c>
      <c r="H161" s="41">
        <f>SUM(H149:H160)</f>
        <v>50973.67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42953.73</v>
      </c>
      <c r="G168" s="41">
        <f>G146+G161+SUM(G162:G167)</f>
        <v>29740.79</v>
      </c>
      <c r="H168" s="41">
        <f>H146+H161+SUM(H162:H167)</f>
        <v>50973.67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24746.91</v>
      </c>
      <c r="H178" s="18"/>
      <c r="I178" s="18"/>
      <c r="J178" s="18"/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24746.91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40000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40000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40000</v>
      </c>
      <c r="G191" s="41">
        <f>G182+SUM(G187:G190)</f>
        <v>24746.91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5032496.67</v>
      </c>
      <c r="G192" s="47">
        <f>G111+G139+G168+G191</f>
        <v>108814.90000000001</v>
      </c>
      <c r="H192" s="47">
        <f>H111+H139+H168+H191</f>
        <v>50973.67</v>
      </c>
      <c r="I192" s="47">
        <f>I111+I139+I168+I191</f>
        <v>0</v>
      </c>
      <c r="J192" s="47">
        <f>J111+J139+J191</f>
        <v>-3557.9900000000002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1184235.75</v>
      </c>
      <c r="G196" s="18">
        <v>571608.34</v>
      </c>
      <c r="H196" s="18">
        <v>12046.62</v>
      </c>
      <c r="I196" s="18">
        <v>47276.12</v>
      </c>
      <c r="J196" s="18">
        <v>5935.68</v>
      </c>
      <c r="K196" s="18"/>
      <c r="L196" s="19">
        <f>SUM(F196:K196)</f>
        <v>1821102.51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333363.8</v>
      </c>
      <c r="G197" s="18">
        <v>160735.12</v>
      </c>
      <c r="H197" s="18">
        <v>80431.77</v>
      </c>
      <c r="I197" s="18">
        <v>233.54</v>
      </c>
      <c r="J197" s="18">
        <v>479.82</v>
      </c>
      <c r="K197" s="18">
        <v>689.95</v>
      </c>
      <c r="L197" s="19">
        <f>SUM(F197:K197)</f>
        <v>575933.99999999988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27300</v>
      </c>
      <c r="G199" s="18">
        <v>13315.34</v>
      </c>
      <c r="H199" s="18">
        <v>2900</v>
      </c>
      <c r="I199" s="18">
        <v>3192.41</v>
      </c>
      <c r="J199" s="18"/>
      <c r="K199" s="18">
        <v>3594</v>
      </c>
      <c r="L199" s="19">
        <f>SUM(F199:K199)</f>
        <v>50301.75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121318.42</v>
      </c>
      <c r="G201" s="18">
        <v>58967.92</v>
      </c>
      <c r="H201" s="18">
        <v>121541.43</v>
      </c>
      <c r="I201" s="18">
        <v>638.51</v>
      </c>
      <c r="J201" s="18">
        <v>347.47</v>
      </c>
      <c r="K201" s="18">
        <v>2617.5</v>
      </c>
      <c r="L201" s="19">
        <f t="shared" ref="L201:L207" si="0">SUM(F201:K201)</f>
        <v>305431.25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99124.6</v>
      </c>
      <c r="G202" s="18">
        <v>56456.9</v>
      </c>
      <c r="H202" s="18">
        <v>4646.74</v>
      </c>
      <c r="I202" s="18">
        <v>3850.53</v>
      </c>
      <c r="J202" s="18">
        <v>0</v>
      </c>
      <c r="K202" s="18"/>
      <c r="L202" s="19">
        <f t="shared" si="0"/>
        <v>164078.76999999999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3861.25</v>
      </c>
      <c r="G203" s="18">
        <v>1902.19</v>
      </c>
      <c r="H203" s="18">
        <v>132865.06</v>
      </c>
      <c r="I203" s="18">
        <v>75</v>
      </c>
      <c r="J203" s="18"/>
      <c r="K203" s="18">
        <v>3295.99</v>
      </c>
      <c r="L203" s="19">
        <f t="shared" si="0"/>
        <v>141999.49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116863.99</v>
      </c>
      <c r="G204" s="18">
        <v>56114.63</v>
      </c>
      <c r="H204" s="18">
        <v>16788.39</v>
      </c>
      <c r="I204" s="18">
        <v>2192.46</v>
      </c>
      <c r="J204" s="18">
        <v>159.97999999999999</v>
      </c>
      <c r="K204" s="18">
        <v>2414.66</v>
      </c>
      <c r="L204" s="19">
        <f t="shared" si="0"/>
        <v>194534.11000000002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83612.399999999994</v>
      </c>
      <c r="G206" s="18">
        <v>40897.1</v>
      </c>
      <c r="H206" s="18">
        <v>65034.34</v>
      </c>
      <c r="I206" s="18">
        <v>84465.17</v>
      </c>
      <c r="J206" s="18">
        <v>9371</v>
      </c>
      <c r="K206" s="18"/>
      <c r="L206" s="19">
        <f t="shared" si="0"/>
        <v>283380.01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182181.56</v>
      </c>
      <c r="I207" s="18"/>
      <c r="J207" s="18"/>
      <c r="K207" s="18"/>
      <c r="L207" s="19">
        <f t="shared" si="0"/>
        <v>182181.56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1969680.21</v>
      </c>
      <c r="G210" s="41">
        <f t="shared" si="1"/>
        <v>959997.53999999992</v>
      </c>
      <c r="H210" s="41">
        <f t="shared" si="1"/>
        <v>618435.90999999992</v>
      </c>
      <c r="I210" s="41">
        <f t="shared" si="1"/>
        <v>141923.74</v>
      </c>
      <c r="J210" s="41">
        <f t="shared" si="1"/>
        <v>16293.95</v>
      </c>
      <c r="K210" s="41">
        <f t="shared" si="1"/>
        <v>12612.099999999999</v>
      </c>
      <c r="L210" s="41">
        <f t="shared" si="1"/>
        <v>3718943.4499999997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942263</v>
      </c>
      <c r="I232" s="18"/>
      <c r="J232" s="18"/>
      <c r="K232" s="18"/>
      <c r="L232" s="19">
        <f>SUM(F232:K232)</f>
        <v>942263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202003.92</v>
      </c>
      <c r="I233" s="18"/>
      <c r="J233" s="18"/>
      <c r="K233" s="18"/>
      <c r="L233" s="19">
        <f>SUM(F233:K233)</f>
        <v>202003.92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>
        <v>31120.09</v>
      </c>
      <c r="I237" s="18"/>
      <c r="J237" s="18"/>
      <c r="K237" s="18"/>
      <c r="L237" s="19">
        <f t="shared" ref="L237:L243" si="4">SUM(F237:K237)</f>
        <v>31120.09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86596.91</v>
      </c>
      <c r="I243" s="18"/>
      <c r="J243" s="18"/>
      <c r="K243" s="18"/>
      <c r="L243" s="19">
        <f t="shared" si="4"/>
        <v>86596.91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1261983.92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1261983.92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0</v>
      </c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1969680.21</v>
      </c>
      <c r="G256" s="41">
        <f t="shared" si="8"/>
        <v>959997.53999999992</v>
      </c>
      <c r="H256" s="41">
        <f t="shared" si="8"/>
        <v>1880419.8299999998</v>
      </c>
      <c r="I256" s="41">
        <f t="shared" si="8"/>
        <v>141923.74</v>
      </c>
      <c r="J256" s="41">
        <f t="shared" si="8"/>
        <v>16293.95</v>
      </c>
      <c r="K256" s="41">
        <f t="shared" si="8"/>
        <v>12612.099999999999</v>
      </c>
      <c r="L256" s="41">
        <f t="shared" si="8"/>
        <v>4980927.3699999992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92011.98</v>
      </c>
      <c r="L259" s="19">
        <f>SUM(F259:K259)</f>
        <v>92011.98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21573.5</v>
      </c>
      <c r="L260" s="19">
        <f>SUM(F260:K260)</f>
        <v>21573.5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24746.91</v>
      </c>
      <c r="L262" s="19">
        <f>SUM(F262:K262)</f>
        <v>24746.91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0</v>
      </c>
      <c r="L265" s="19">
        <f t="shared" si="9"/>
        <v>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>
        <v>1557.6</v>
      </c>
      <c r="L267" s="19">
        <f t="shared" si="9"/>
        <v>1557.6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139889.99</v>
      </c>
      <c r="L269" s="41">
        <f t="shared" si="9"/>
        <v>139889.99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1969680.21</v>
      </c>
      <c r="G270" s="42">
        <f t="shared" si="11"/>
        <v>959997.53999999992</v>
      </c>
      <c r="H270" s="42">
        <f t="shared" si="11"/>
        <v>1880419.8299999998</v>
      </c>
      <c r="I270" s="42">
        <f t="shared" si="11"/>
        <v>141923.74</v>
      </c>
      <c r="J270" s="42">
        <f t="shared" si="11"/>
        <v>16293.95</v>
      </c>
      <c r="K270" s="42">
        <f t="shared" si="11"/>
        <v>152502.09</v>
      </c>
      <c r="L270" s="42">
        <f t="shared" si="11"/>
        <v>5120817.3599999994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21508.5</v>
      </c>
      <c r="G275" s="18">
        <v>2276.79</v>
      </c>
      <c r="H275" s="18">
        <v>0</v>
      </c>
      <c r="I275" s="18">
        <v>2499.61</v>
      </c>
      <c r="J275" s="18">
        <v>20437.560000000001</v>
      </c>
      <c r="K275" s="18"/>
      <c r="L275" s="19">
        <f>SUM(F275:K275)</f>
        <v>46722.460000000006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>
        <v>0</v>
      </c>
      <c r="I280" s="18"/>
      <c r="J280" s="18"/>
      <c r="K280" s="18"/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500</v>
      </c>
      <c r="G281" s="18">
        <v>66.36</v>
      </c>
      <c r="H281" s="18">
        <v>3001.67</v>
      </c>
      <c r="I281" s="18"/>
      <c r="J281" s="18"/>
      <c r="K281" s="18"/>
      <c r="L281" s="19">
        <f t="shared" si="12"/>
        <v>3568.03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>
        <v>683.18</v>
      </c>
      <c r="L282" s="19">
        <f t="shared" si="12"/>
        <v>683.18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>
        <v>0</v>
      </c>
      <c r="G283" s="18">
        <v>0</v>
      </c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22008.5</v>
      </c>
      <c r="G289" s="42">
        <f t="shared" si="13"/>
        <v>2343.15</v>
      </c>
      <c r="H289" s="42">
        <f t="shared" si="13"/>
        <v>3001.67</v>
      </c>
      <c r="I289" s="42">
        <f t="shared" si="13"/>
        <v>2499.61</v>
      </c>
      <c r="J289" s="42">
        <f t="shared" si="13"/>
        <v>20437.560000000001</v>
      </c>
      <c r="K289" s="42">
        <f t="shared" si="13"/>
        <v>683.18</v>
      </c>
      <c r="L289" s="41">
        <f t="shared" si="13"/>
        <v>50973.670000000006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22008.5</v>
      </c>
      <c r="G337" s="41">
        <f t="shared" si="20"/>
        <v>2343.15</v>
      </c>
      <c r="H337" s="41">
        <f t="shared" si="20"/>
        <v>3001.67</v>
      </c>
      <c r="I337" s="41">
        <f t="shared" si="20"/>
        <v>2499.61</v>
      </c>
      <c r="J337" s="41">
        <f t="shared" si="20"/>
        <v>20437.560000000001</v>
      </c>
      <c r="K337" s="41">
        <f t="shared" si="20"/>
        <v>683.18</v>
      </c>
      <c r="L337" s="41">
        <f t="shared" si="20"/>
        <v>50973.670000000006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22008.5</v>
      </c>
      <c r="G351" s="41">
        <f>G337</f>
        <v>2343.15</v>
      </c>
      <c r="H351" s="41">
        <f>H337</f>
        <v>3001.67</v>
      </c>
      <c r="I351" s="41">
        <f>I337</f>
        <v>2499.61</v>
      </c>
      <c r="J351" s="41">
        <f>J337</f>
        <v>20437.560000000001</v>
      </c>
      <c r="K351" s="47">
        <f>K337+K350</f>
        <v>683.18</v>
      </c>
      <c r="L351" s="41">
        <f>L337+L350</f>
        <v>50973.670000000006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48423.839999999997</v>
      </c>
      <c r="G357" s="18">
        <v>15985.37</v>
      </c>
      <c r="H357" s="18">
        <v>3468.16</v>
      </c>
      <c r="I357" s="18">
        <v>37644.28</v>
      </c>
      <c r="J357" s="18">
        <v>3184</v>
      </c>
      <c r="K357" s="18">
        <v>109.25</v>
      </c>
      <c r="L357" s="13">
        <f>SUM(F357:K357)</f>
        <v>108814.9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48423.839999999997</v>
      </c>
      <c r="G361" s="47">
        <f t="shared" si="22"/>
        <v>15985.37</v>
      </c>
      <c r="H361" s="47">
        <f t="shared" si="22"/>
        <v>3468.16</v>
      </c>
      <c r="I361" s="47">
        <f t="shared" si="22"/>
        <v>37644.28</v>
      </c>
      <c r="J361" s="47">
        <f t="shared" si="22"/>
        <v>3184</v>
      </c>
      <c r="K361" s="47">
        <f t="shared" si="22"/>
        <v>109.25</v>
      </c>
      <c r="L361" s="47">
        <f t="shared" si="22"/>
        <v>108814.9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33178.230000000003</v>
      </c>
      <c r="G366" s="18"/>
      <c r="H366" s="18"/>
      <c r="I366" s="56">
        <f>SUM(F366:H366)</f>
        <v>33178.230000000003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4466.05</v>
      </c>
      <c r="G367" s="63"/>
      <c r="H367" s="63"/>
      <c r="I367" s="56">
        <f>SUM(F367:H367)</f>
        <v>4466.05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37644.280000000006</v>
      </c>
      <c r="G368" s="47">
        <f>SUM(G366:G367)</f>
        <v>0</v>
      </c>
      <c r="H368" s="47">
        <f>SUM(H366:H367)</f>
        <v>0</v>
      </c>
      <c r="I368" s="47">
        <f>SUM(I366:I367)</f>
        <v>37644.280000000006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>
        <v>1833.1</v>
      </c>
      <c r="I395" s="18">
        <v>-3880.94</v>
      </c>
      <c r="J395" s="24" t="s">
        <v>289</v>
      </c>
      <c r="K395" s="24" t="s">
        <v>289</v>
      </c>
      <c r="L395" s="56">
        <f t="shared" si="26"/>
        <v>-2047.8400000000001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991.32</v>
      </c>
      <c r="I396" s="18">
        <v>-2098.75</v>
      </c>
      <c r="J396" s="24" t="s">
        <v>289</v>
      </c>
      <c r="K396" s="24" t="s">
        <v>289</v>
      </c>
      <c r="L396" s="56">
        <f t="shared" si="26"/>
        <v>-1107.4299999999998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>
        <v>360.51</v>
      </c>
      <c r="I398" s="18">
        <v>-763.23</v>
      </c>
      <c r="J398" s="24" t="s">
        <v>289</v>
      </c>
      <c r="K398" s="24" t="s">
        <v>289</v>
      </c>
      <c r="L398" s="56">
        <f t="shared" si="26"/>
        <v>-402.72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3184.9300000000003</v>
      </c>
      <c r="I400" s="47">
        <f>SUM(I394:I399)</f>
        <v>-6742.92</v>
      </c>
      <c r="J400" s="45" t="s">
        <v>289</v>
      </c>
      <c r="K400" s="45" t="s">
        <v>289</v>
      </c>
      <c r="L400" s="47">
        <f>SUM(L394:L399)</f>
        <v>-3557.99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3184.9300000000003</v>
      </c>
      <c r="I407" s="47">
        <f>I392+I400+I406</f>
        <v>-6742.92</v>
      </c>
      <c r="J407" s="24" t="s">
        <v>289</v>
      </c>
      <c r="K407" s="24" t="s">
        <v>289</v>
      </c>
      <c r="L407" s="47">
        <f>L392+L400+L406</f>
        <v>-3557.99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 t="s">
        <v>287</v>
      </c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 t="s">
        <v>287</v>
      </c>
      <c r="I422" s="18"/>
      <c r="J422" s="18"/>
      <c r="K422" s="18">
        <v>40000</v>
      </c>
      <c r="L422" s="56">
        <f t="shared" si="29"/>
        <v>40000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 t="s">
        <v>287</v>
      </c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40000</v>
      </c>
      <c r="L426" s="47">
        <f t="shared" si="30"/>
        <v>40000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40000</v>
      </c>
      <c r="L433" s="47">
        <f t="shared" si="32"/>
        <v>40000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>
        <v>126874.37</v>
      </c>
      <c r="H438" s="18"/>
      <c r="I438" s="56">
        <f t="shared" ref="I438:I444" si="33">SUM(F438:H438)</f>
        <v>126874.37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126874.37</v>
      </c>
      <c r="H445" s="13">
        <f>SUM(H438:H444)</f>
        <v>0</v>
      </c>
      <c r="I445" s="13">
        <f>SUM(I438:I444)</f>
        <v>126874.37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126874.37</v>
      </c>
      <c r="H458" s="18"/>
      <c r="I458" s="56">
        <f t="shared" si="34"/>
        <v>126874.37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126874.37</v>
      </c>
      <c r="H459" s="83">
        <f>SUM(H453:H458)</f>
        <v>0</v>
      </c>
      <c r="I459" s="83">
        <f>SUM(I453:I458)</f>
        <v>126874.37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126874.37</v>
      </c>
      <c r="H460" s="42">
        <f>H451+H459</f>
        <v>0</v>
      </c>
      <c r="I460" s="42">
        <f>I451+I459</f>
        <v>126874.37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106638.19</v>
      </c>
      <c r="G464" s="18">
        <v>10000</v>
      </c>
      <c r="H464" s="18">
        <v>0</v>
      </c>
      <c r="I464" s="18">
        <v>0</v>
      </c>
      <c r="J464" s="18">
        <v>170432.36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5032496.67</v>
      </c>
      <c r="G467" s="18">
        <v>108814.9</v>
      </c>
      <c r="H467" s="18">
        <v>50973.67</v>
      </c>
      <c r="I467" s="18"/>
      <c r="J467" s="18">
        <v>-3557.99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5032496.67</v>
      </c>
      <c r="G469" s="53">
        <f>SUM(G467:G468)</f>
        <v>108814.9</v>
      </c>
      <c r="H469" s="53">
        <f>SUM(H467:H468)</f>
        <v>50973.67</v>
      </c>
      <c r="I469" s="53">
        <f>SUM(I467:I468)</f>
        <v>0</v>
      </c>
      <c r="J469" s="53">
        <f>SUM(J467:J468)</f>
        <v>-3557.99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5120817.3600000003</v>
      </c>
      <c r="G471" s="18">
        <v>108814.9</v>
      </c>
      <c r="H471" s="18">
        <v>50973.67</v>
      </c>
      <c r="I471" s="18"/>
      <c r="J471" s="18">
        <v>40000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5120817.3600000003</v>
      </c>
      <c r="G473" s="53">
        <f>SUM(G471:G472)</f>
        <v>108814.9</v>
      </c>
      <c r="H473" s="53">
        <f>SUM(H471:H472)</f>
        <v>50973.67</v>
      </c>
      <c r="I473" s="53">
        <f>SUM(I471:I472)</f>
        <v>0</v>
      </c>
      <c r="J473" s="53">
        <f>SUM(J471:J472)</f>
        <v>40000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18317.5</v>
      </c>
      <c r="G475" s="53">
        <f>(G464+G469)- G473</f>
        <v>10000</v>
      </c>
      <c r="H475" s="53">
        <f>(H464+H469)- H473</f>
        <v>0</v>
      </c>
      <c r="I475" s="53">
        <f>(I464+I469)- I473</f>
        <v>0</v>
      </c>
      <c r="J475" s="53">
        <f>(J464+J469)- J473</f>
        <v>126874.37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15</v>
      </c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1600000</v>
      </c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4.08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630000</v>
      </c>
      <c r="G494" s="18"/>
      <c r="H494" s="18"/>
      <c r="I494" s="18"/>
      <c r="J494" s="18"/>
      <c r="K494" s="53">
        <f>SUM(F494:J494)</f>
        <v>630000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105000</v>
      </c>
      <c r="G496" s="18"/>
      <c r="H496" s="18"/>
      <c r="I496" s="18"/>
      <c r="J496" s="18"/>
      <c r="K496" s="53">
        <f t="shared" si="35"/>
        <v>105000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525000</v>
      </c>
      <c r="G497" s="204"/>
      <c r="H497" s="204"/>
      <c r="I497" s="204"/>
      <c r="J497" s="204"/>
      <c r="K497" s="205">
        <f t="shared" si="35"/>
        <v>525000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57566.25</v>
      </c>
      <c r="G498" s="18"/>
      <c r="H498" s="18"/>
      <c r="I498" s="18"/>
      <c r="J498" s="18"/>
      <c r="K498" s="53">
        <f t="shared" si="35"/>
        <v>57566.25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582566.25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582566.25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105000</v>
      </c>
      <c r="G500" s="204"/>
      <c r="H500" s="204"/>
      <c r="I500" s="204"/>
      <c r="J500" s="204"/>
      <c r="K500" s="205">
        <f t="shared" si="35"/>
        <v>105000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20475</v>
      </c>
      <c r="G501" s="18"/>
      <c r="H501" s="18"/>
      <c r="I501" s="18"/>
      <c r="J501" s="18"/>
      <c r="K501" s="53">
        <f t="shared" si="35"/>
        <v>20475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125475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125475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>
        <v>6067.54</v>
      </c>
      <c r="G506" s="144">
        <v>1480.5</v>
      </c>
      <c r="H506" s="144"/>
      <c r="I506" s="144">
        <v>7548.04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333363.8</v>
      </c>
      <c r="G520" s="18">
        <v>160735.12</v>
      </c>
      <c r="H520" s="18">
        <v>80431.77</v>
      </c>
      <c r="I520" s="18">
        <v>233.54</v>
      </c>
      <c r="J520" s="18">
        <v>479.82</v>
      </c>
      <c r="K520" s="18">
        <v>689.95</v>
      </c>
      <c r="L520" s="88">
        <f>SUM(F520:K520)</f>
        <v>575933.99999999988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v>202003.92</v>
      </c>
      <c r="I522" s="18"/>
      <c r="J522" s="18"/>
      <c r="K522" s="18"/>
      <c r="L522" s="88">
        <f>SUM(F522:K522)</f>
        <v>202003.92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333363.8</v>
      </c>
      <c r="G523" s="108">
        <f t="shared" ref="G523:L523" si="36">SUM(G520:G522)</f>
        <v>160735.12</v>
      </c>
      <c r="H523" s="108">
        <f t="shared" si="36"/>
        <v>282435.69</v>
      </c>
      <c r="I523" s="108">
        <f t="shared" si="36"/>
        <v>233.54</v>
      </c>
      <c r="J523" s="108">
        <f t="shared" si="36"/>
        <v>479.82</v>
      </c>
      <c r="K523" s="108">
        <f t="shared" si="36"/>
        <v>689.95</v>
      </c>
      <c r="L523" s="89">
        <f t="shared" si="36"/>
        <v>777937.91999999993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v>115265.52</v>
      </c>
      <c r="I525" s="18"/>
      <c r="J525" s="18"/>
      <c r="K525" s="18"/>
      <c r="L525" s="88">
        <f>SUM(F525:K525)</f>
        <v>115265.52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>
        <v>31120.09</v>
      </c>
      <c r="I527" s="18"/>
      <c r="J527" s="18"/>
      <c r="K527" s="18"/>
      <c r="L527" s="88">
        <f>SUM(F527:K527)</f>
        <v>31120.09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146385.61000000002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146385.61000000002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6560</v>
      </c>
      <c r="G530" s="18">
        <v>3953.98</v>
      </c>
      <c r="H530" s="18">
        <v>791.1</v>
      </c>
      <c r="I530" s="18"/>
      <c r="J530" s="18"/>
      <c r="K530" s="18"/>
      <c r="L530" s="88">
        <f>SUM(F530:K530)</f>
        <v>11305.08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1640</v>
      </c>
      <c r="G532" s="18">
        <v>988.49</v>
      </c>
      <c r="H532" s="18">
        <v>142.53</v>
      </c>
      <c r="I532" s="18"/>
      <c r="J532" s="18"/>
      <c r="K532" s="18"/>
      <c r="L532" s="88">
        <f>SUM(F532:K532)</f>
        <v>2771.02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8200</v>
      </c>
      <c r="G533" s="89">
        <f t="shared" ref="G533:L533" si="38">SUM(G530:G532)</f>
        <v>4942.47</v>
      </c>
      <c r="H533" s="89">
        <f t="shared" si="38"/>
        <v>933.63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14076.1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26097.24</v>
      </c>
      <c r="I540" s="18"/>
      <c r="J540" s="18"/>
      <c r="K540" s="18"/>
      <c r="L540" s="88">
        <f>SUM(F540:K540)</f>
        <v>26097.24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47064.91</v>
      </c>
      <c r="I542" s="18"/>
      <c r="J542" s="18"/>
      <c r="K542" s="18"/>
      <c r="L542" s="88">
        <f>SUM(F542:K542)</f>
        <v>47064.91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73162.150000000009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73162.150000000009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341563.8</v>
      </c>
      <c r="G544" s="89">
        <f t="shared" ref="G544:L544" si="41">G523+G528+G533+G538+G543</f>
        <v>165677.59</v>
      </c>
      <c r="H544" s="89">
        <f t="shared" si="41"/>
        <v>502917.08000000007</v>
      </c>
      <c r="I544" s="89">
        <f t="shared" si="41"/>
        <v>233.54</v>
      </c>
      <c r="J544" s="89">
        <f t="shared" si="41"/>
        <v>479.82</v>
      </c>
      <c r="K544" s="89">
        <f t="shared" si="41"/>
        <v>689.95</v>
      </c>
      <c r="L544" s="89">
        <f t="shared" si="41"/>
        <v>1011561.7799999999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575933.99999999988</v>
      </c>
      <c r="G548" s="87">
        <f>L525</f>
        <v>115265.52</v>
      </c>
      <c r="H548" s="87">
        <f>L530</f>
        <v>11305.08</v>
      </c>
      <c r="I548" s="87">
        <f>L535</f>
        <v>0</v>
      </c>
      <c r="J548" s="87">
        <f>L540</f>
        <v>26097.24</v>
      </c>
      <c r="K548" s="87">
        <f>SUM(F548:J548)</f>
        <v>728601.83999999985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202003.92</v>
      </c>
      <c r="G550" s="87">
        <f>L527</f>
        <v>31120.09</v>
      </c>
      <c r="H550" s="87">
        <f>L532</f>
        <v>2771.02</v>
      </c>
      <c r="I550" s="87">
        <f>L537</f>
        <v>0</v>
      </c>
      <c r="J550" s="87">
        <f>L542</f>
        <v>47064.91</v>
      </c>
      <c r="K550" s="87">
        <f>SUM(F550:J550)</f>
        <v>282959.94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777937.91999999993</v>
      </c>
      <c r="G551" s="89">
        <f t="shared" si="42"/>
        <v>146385.61000000002</v>
      </c>
      <c r="H551" s="89">
        <f t="shared" si="42"/>
        <v>14076.1</v>
      </c>
      <c r="I551" s="89">
        <f t="shared" si="42"/>
        <v>0</v>
      </c>
      <c r="J551" s="89">
        <f t="shared" si="42"/>
        <v>73162.150000000009</v>
      </c>
      <c r="K551" s="89">
        <f t="shared" si="42"/>
        <v>1011561.7799999998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>
        <v>2744.58</v>
      </c>
      <c r="I561" s="18"/>
      <c r="J561" s="18"/>
      <c r="K561" s="18"/>
      <c r="L561" s="88">
        <f>SUM(F561:K561)</f>
        <v>2744.58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2744.58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2744.58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2744.58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2744.58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942263</v>
      </c>
      <c r="I574" s="87">
        <f>SUM(F574:H574)</f>
        <v>942263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69233.63</v>
      </c>
      <c r="G578" s="18"/>
      <c r="H578" s="18">
        <v>97449.32</v>
      </c>
      <c r="I578" s="87">
        <f t="shared" si="47"/>
        <v>166682.95000000001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>
        <v>10420.16</v>
      </c>
      <c r="G582" s="18"/>
      <c r="H582" s="18">
        <v>104554.6</v>
      </c>
      <c r="I582" s="87">
        <f t="shared" si="47"/>
        <v>114974.76000000001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148583</v>
      </c>
      <c r="I590" s="18"/>
      <c r="J590" s="18">
        <v>39532</v>
      </c>
      <c r="K590" s="104">
        <f t="shared" ref="K590:K596" si="48">SUM(H590:J590)</f>
        <v>188115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26097.24</v>
      </c>
      <c r="I591" s="18"/>
      <c r="J591" s="18">
        <v>47064.91</v>
      </c>
      <c r="K591" s="104">
        <f t="shared" si="48"/>
        <v>73162.150000000009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3360.73</v>
      </c>
      <c r="I593" s="18"/>
      <c r="J593" s="18"/>
      <c r="K593" s="104">
        <f t="shared" si="48"/>
        <v>3360.73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4140.59</v>
      </c>
      <c r="I594" s="18"/>
      <c r="J594" s="18"/>
      <c r="K594" s="104">
        <f t="shared" si="48"/>
        <v>4140.59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182181.56</v>
      </c>
      <c r="I597" s="108">
        <f>SUM(I590:I596)</f>
        <v>0</v>
      </c>
      <c r="J597" s="108">
        <f>SUM(J590:J596)</f>
        <v>86596.91</v>
      </c>
      <c r="K597" s="108">
        <f>SUM(K590:K596)</f>
        <v>268778.47000000003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36731.51</v>
      </c>
      <c r="I603" s="18"/>
      <c r="J603" s="18"/>
      <c r="K603" s="104">
        <f>SUM(H603:J603)</f>
        <v>36731.51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36731.51</v>
      </c>
      <c r="I604" s="108">
        <f>SUM(I601:I603)</f>
        <v>0</v>
      </c>
      <c r="J604" s="108">
        <f>SUM(J601:J603)</f>
        <v>0</v>
      </c>
      <c r="K604" s="108">
        <f>SUM(K601:K603)</f>
        <v>36731.51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151274.51</v>
      </c>
      <c r="H616" s="109">
        <f>SUM(F51)</f>
        <v>151274.51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10674.210000000001</v>
      </c>
      <c r="H617" s="109">
        <f>SUM(G51)</f>
        <v>10674.21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2880.18</v>
      </c>
      <c r="H618" s="109">
        <f>SUM(H51)</f>
        <v>2880.18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126874.37</v>
      </c>
      <c r="H620" s="109">
        <f>SUM(J51)</f>
        <v>126874.37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18317.5</v>
      </c>
      <c r="H621" s="109">
        <f>F475</f>
        <v>18317.5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10000</v>
      </c>
      <c r="H622" s="109">
        <f>G475</f>
        <v>10000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126874.37</v>
      </c>
      <c r="H625" s="109">
        <f>J475</f>
        <v>126874.37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5032496.67</v>
      </c>
      <c r="H626" s="104">
        <f>SUM(F467)</f>
        <v>5032496.67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108814.90000000001</v>
      </c>
      <c r="H627" s="104">
        <f>SUM(G467)</f>
        <v>108814.9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50973.67</v>
      </c>
      <c r="H628" s="104">
        <f>SUM(H467)</f>
        <v>50973.67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-3557.9900000000002</v>
      </c>
      <c r="H630" s="104">
        <f>SUM(J467)</f>
        <v>-3557.99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5120817.3599999994</v>
      </c>
      <c r="H631" s="104">
        <f>SUM(F471)</f>
        <v>5120817.3600000003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50973.670000000006</v>
      </c>
      <c r="H632" s="104">
        <f>SUM(H471)</f>
        <v>50973.67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37644.28</v>
      </c>
      <c r="H633" s="104">
        <f>I368</f>
        <v>37644.280000000006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108814.9</v>
      </c>
      <c r="H634" s="104">
        <f>SUM(G471)</f>
        <v>108814.9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-3557.99</v>
      </c>
      <c r="H636" s="164">
        <f>SUM(J467)</f>
        <v>-3557.99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40000</v>
      </c>
      <c r="H637" s="164">
        <f>SUM(J471)</f>
        <v>40000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126874.37</v>
      </c>
      <c r="H639" s="104">
        <f>SUM(G460)</f>
        <v>126874.37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126874.37</v>
      </c>
      <c r="H641" s="104">
        <f>SUM(I460)</f>
        <v>126874.37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3184.93</v>
      </c>
      <c r="H643" s="104">
        <f>H407</f>
        <v>3184.9300000000003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-3557.9900000000002</v>
      </c>
      <c r="H645" s="104">
        <f>L407</f>
        <v>-3557.99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268778.47000000003</v>
      </c>
      <c r="H646" s="104">
        <f>L207+L225+L243</f>
        <v>268778.46999999997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36731.51</v>
      </c>
      <c r="H647" s="104">
        <f>(J256+J337)-(J254+J335)</f>
        <v>36731.51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182181.56</v>
      </c>
      <c r="H648" s="104">
        <f>H597</f>
        <v>182181.56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86596.91</v>
      </c>
      <c r="H650" s="104">
        <f>J597</f>
        <v>86596.91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24746.91</v>
      </c>
      <c r="H651" s="104">
        <f>K262+K344</f>
        <v>24746.91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3878732.0199999996</v>
      </c>
      <c r="G659" s="19">
        <f>(L228+L308+L358)</f>
        <v>0</v>
      </c>
      <c r="H659" s="19">
        <f>(L246+L327+L359)</f>
        <v>1261983.92</v>
      </c>
      <c r="I659" s="19">
        <f>SUM(F659:H659)</f>
        <v>5140715.9399999995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53279.62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53279.62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182181.56</v>
      </c>
      <c r="G661" s="19">
        <f>(L225+L305)-(J225+J305)</f>
        <v>0</v>
      </c>
      <c r="H661" s="19">
        <f>(L243+L324)-(J243+J324)</f>
        <v>86596.91</v>
      </c>
      <c r="I661" s="19">
        <f>SUM(F661:H661)</f>
        <v>268778.46999999997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116385.30000000002</v>
      </c>
      <c r="G662" s="199">
        <f>SUM(G574:G586)+SUM(I601:I603)+L611</f>
        <v>0</v>
      </c>
      <c r="H662" s="199">
        <f>SUM(H574:H586)+SUM(J601:J603)+L612</f>
        <v>1144266.9200000002</v>
      </c>
      <c r="I662" s="19">
        <f>SUM(F662:H662)</f>
        <v>1260652.2200000002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3526885.5399999996</v>
      </c>
      <c r="G663" s="19">
        <f>G659-SUM(G660:G662)</f>
        <v>0</v>
      </c>
      <c r="H663" s="19">
        <f>H659-SUM(H660:H662)</f>
        <v>31120.089999999851</v>
      </c>
      <c r="I663" s="19">
        <f>I659-SUM(I660:I662)</f>
        <v>3558005.6299999994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247.69</v>
      </c>
      <c r="G664" s="248"/>
      <c r="H664" s="248"/>
      <c r="I664" s="19">
        <f>SUM(F664:H664)</f>
        <v>247.69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14239.11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14364.75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>
        <v>-31120.09</v>
      </c>
      <c r="I668" s="19">
        <f>SUM(F668:H668)</f>
        <v>-31120.09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14239.11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14239.11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7" workbookViewId="0">
      <selection activeCell="C56" sqref="C56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Chichester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1205744.25</v>
      </c>
      <c r="C9" s="229">
        <f>'DOE25'!G196+'DOE25'!G214+'DOE25'!G232+'DOE25'!G275+'DOE25'!G294+'DOE25'!G313</f>
        <v>573885.13</v>
      </c>
    </row>
    <row r="10" spans="1:3" x14ac:dyDescent="0.2">
      <c r="A10" t="s">
        <v>779</v>
      </c>
      <c r="B10" s="240">
        <v>1162070.43</v>
      </c>
      <c r="C10" s="240">
        <v>553225.27</v>
      </c>
    </row>
    <row r="11" spans="1:3" x14ac:dyDescent="0.2">
      <c r="A11" t="s">
        <v>780</v>
      </c>
      <c r="B11" s="240">
        <v>14367.78</v>
      </c>
      <c r="C11" s="240">
        <v>6886.62</v>
      </c>
    </row>
    <row r="12" spans="1:3" x14ac:dyDescent="0.2">
      <c r="A12" t="s">
        <v>781</v>
      </c>
      <c r="B12" s="240">
        <v>29306.04</v>
      </c>
      <c r="C12" s="240">
        <v>13773.24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1205744.25</v>
      </c>
      <c r="C13" s="231">
        <f>SUM(C10:C12)</f>
        <v>573885.13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333363.8</v>
      </c>
      <c r="C18" s="229">
        <f>'DOE25'!G197+'DOE25'!G215+'DOE25'!G233+'DOE25'!G276+'DOE25'!G295+'DOE25'!G314</f>
        <v>160735.12</v>
      </c>
    </row>
    <row r="19" spans="1:3" x14ac:dyDescent="0.2">
      <c r="A19" t="s">
        <v>779</v>
      </c>
      <c r="B19" s="240">
        <v>202322.26</v>
      </c>
      <c r="C19" s="240">
        <v>97566.22</v>
      </c>
    </row>
    <row r="20" spans="1:3" x14ac:dyDescent="0.2">
      <c r="A20" t="s">
        <v>780</v>
      </c>
      <c r="B20" s="240">
        <v>129541.54</v>
      </c>
      <c r="C20" s="240">
        <v>62525.96</v>
      </c>
    </row>
    <row r="21" spans="1:3" x14ac:dyDescent="0.2">
      <c r="A21" t="s">
        <v>781</v>
      </c>
      <c r="B21" s="240">
        <v>1500</v>
      </c>
      <c r="C21" s="240">
        <v>642.94000000000005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333363.8</v>
      </c>
      <c r="C22" s="231">
        <f>SUM(C19:C21)</f>
        <v>160735.12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27300</v>
      </c>
      <c r="C36" s="235">
        <f>'DOE25'!G199+'DOE25'!G217+'DOE25'!G235+'DOE25'!G278+'DOE25'!G297+'DOE25'!G316</f>
        <v>13315.34</v>
      </c>
    </row>
    <row r="37" spans="1:3" x14ac:dyDescent="0.2">
      <c r="A37" t="s">
        <v>779</v>
      </c>
      <c r="B37" s="240">
        <v>27300</v>
      </c>
      <c r="C37" s="240">
        <v>13315.34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27300</v>
      </c>
      <c r="C40" s="231">
        <f>SUM(C37:C39)</f>
        <v>13315.34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tabSelected="1"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Chichester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3591605.1799999997</v>
      </c>
      <c r="D5" s="20">
        <f>SUM('DOE25'!L196:L199)+SUM('DOE25'!L214:L217)+SUM('DOE25'!L232:L235)-F5-G5</f>
        <v>3580905.7299999995</v>
      </c>
      <c r="E5" s="243"/>
      <c r="F5" s="255">
        <f>SUM('DOE25'!J196:J199)+SUM('DOE25'!J214:J217)+SUM('DOE25'!J232:J235)</f>
        <v>6415.5</v>
      </c>
      <c r="G5" s="53">
        <f>SUM('DOE25'!K196:K199)+SUM('DOE25'!K214:K217)+SUM('DOE25'!K232:K235)</f>
        <v>4283.95</v>
      </c>
      <c r="H5" s="259"/>
    </row>
    <row r="6" spans="1:9" x14ac:dyDescent="0.2">
      <c r="A6" s="32">
        <v>2100</v>
      </c>
      <c r="B6" t="s">
        <v>801</v>
      </c>
      <c r="C6" s="245">
        <f t="shared" si="0"/>
        <v>336551.34</v>
      </c>
      <c r="D6" s="20">
        <f>'DOE25'!L201+'DOE25'!L219+'DOE25'!L237-F6-G6</f>
        <v>333586.37000000005</v>
      </c>
      <c r="E6" s="243"/>
      <c r="F6" s="255">
        <f>'DOE25'!J201+'DOE25'!J219+'DOE25'!J237</f>
        <v>347.47</v>
      </c>
      <c r="G6" s="53">
        <f>'DOE25'!K201+'DOE25'!K219+'DOE25'!K237</f>
        <v>2617.5</v>
      </c>
      <c r="H6" s="259"/>
    </row>
    <row r="7" spans="1:9" x14ac:dyDescent="0.2">
      <c r="A7" s="32">
        <v>2200</v>
      </c>
      <c r="B7" t="s">
        <v>834</v>
      </c>
      <c r="C7" s="245">
        <f t="shared" si="0"/>
        <v>164078.76999999999</v>
      </c>
      <c r="D7" s="20">
        <f>'DOE25'!L202+'DOE25'!L220+'DOE25'!L238-F7-G7</f>
        <v>164078.76999999999</v>
      </c>
      <c r="E7" s="243"/>
      <c r="F7" s="255">
        <f>'DOE25'!J202+'DOE25'!J220+'DOE25'!J238</f>
        <v>0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98454.130000000019</v>
      </c>
      <c r="D8" s="243"/>
      <c r="E8" s="20">
        <f>'DOE25'!L203+'DOE25'!L221+'DOE25'!L239-F8-G8-D9-D11</f>
        <v>95158.140000000014</v>
      </c>
      <c r="F8" s="255">
        <f>'DOE25'!J203+'DOE25'!J221+'DOE25'!J239</f>
        <v>0</v>
      </c>
      <c r="G8" s="53">
        <f>'DOE25'!K203+'DOE25'!K221+'DOE25'!K239</f>
        <v>3295.99</v>
      </c>
      <c r="H8" s="259"/>
    </row>
    <row r="9" spans="1:9" x14ac:dyDescent="0.2">
      <c r="A9" s="32">
        <v>2310</v>
      </c>
      <c r="B9" t="s">
        <v>818</v>
      </c>
      <c r="C9" s="245">
        <f t="shared" si="0"/>
        <v>5617.24</v>
      </c>
      <c r="D9" s="244">
        <v>5617.24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3132</v>
      </c>
      <c r="D10" s="243"/>
      <c r="E10" s="244">
        <v>3132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37928.120000000003</v>
      </c>
      <c r="D11" s="244">
        <v>37928.120000000003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194534.11000000002</v>
      </c>
      <c r="D12" s="20">
        <f>'DOE25'!L204+'DOE25'!L222+'DOE25'!L240-F12-G12</f>
        <v>191959.47</v>
      </c>
      <c r="E12" s="243"/>
      <c r="F12" s="255">
        <f>'DOE25'!J204+'DOE25'!J222+'DOE25'!J240</f>
        <v>159.97999999999999</v>
      </c>
      <c r="G12" s="53">
        <f>'DOE25'!K204+'DOE25'!K222+'DOE25'!K240</f>
        <v>2414.66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283380.01</v>
      </c>
      <c r="D14" s="20">
        <f>'DOE25'!L206+'DOE25'!L224+'DOE25'!L242-F14-G14</f>
        <v>274009.01</v>
      </c>
      <c r="E14" s="243"/>
      <c r="F14" s="255">
        <f>'DOE25'!J206+'DOE25'!J224+'DOE25'!J242</f>
        <v>9371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268778.46999999997</v>
      </c>
      <c r="D15" s="20">
        <f>'DOE25'!L207+'DOE25'!L225+'DOE25'!L243-F15-G15</f>
        <v>268778.46999999997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113585.48</v>
      </c>
      <c r="D25" s="243"/>
      <c r="E25" s="243"/>
      <c r="F25" s="258"/>
      <c r="G25" s="256"/>
      <c r="H25" s="257">
        <f>'DOE25'!L259+'DOE25'!L260+'DOE25'!L340+'DOE25'!L341</f>
        <v>113585.48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75636.669999999984</v>
      </c>
      <c r="D29" s="20">
        <f>'DOE25'!L357+'DOE25'!L358+'DOE25'!L359-'DOE25'!I366-F29-G29</f>
        <v>72343.419999999984</v>
      </c>
      <c r="E29" s="243"/>
      <c r="F29" s="255">
        <f>'DOE25'!J357+'DOE25'!J358+'DOE25'!J359</f>
        <v>3184</v>
      </c>
      <c r="G29" s="53">
        <f>'DOE25'!K357+'DOE25'!K358+'DOE25'!K359</f>
        <v>109.25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50973.670000000006</v>
      </c>
      <c r="D31" s="20">
        <f>'DOE25'!L289+'DOE25'!L308+'DOE25'!L327+'DOE25'!L332+'DOE25'!L333+'DOE25'!L334-F31-G31</f>
        <v>29852.930000000004</v>
      </c>
      <c r="E31" s="243"/>
      <c r="F31" s="255">
        <f>'DOE25'!J289+'DOE25'!J308+'DOE25'!J327+'DOE25'!J332+'DOE25'!J333+'DOE25'!J334</f>
        <v>20437.560000000001</v>
      </c>
      <c r="G31" s="53">
        <f>'DOE25'!K289+'DOE25'!K308+'DOE25'!K327+'DOE25'!K332+'DOE25'!K333+'DOE25'!K334</f>
        <v>683.18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4959059.5299999993</v>
      </c>
      <c r="E33" s="246">
        <f>SUM(E5:E31)</f>
        <v>98290.140000000014</v>
      </c>
      <c r="F33" s="246">
        <f>SUM(F5:F31)</f>
        <v>39915.51</v>
      </c>
      <c r="G33" s="246">
        <f>SUM(G5:G31)</f>
        <v>13404.529999999999</v>
      </c>
      <c r="H33" s="246">
        <f>SUM(H5:H31)</f>
        <v>113585.48</v>
      </c>
    </row>
    <row r="35" spans="2:8" ht="12" thickBot="1" x14ac:dyDescent="0.25">
      <c r="B35" s="253" t="s">
        <v>847</v>
      </c>
      <c r="D35" s="254">
        <f>E33</f>
        <v>98290.140000000014</v>
      </c>
      <c r="E35" s="249"/>
    </row>
    <row r="36" spans="2:8" ht="12" thickTop="1" x14ac:dyDescent="0.2">
      <c r="B36" t="s">
        <v>815</v>
      </c>
      <c r="D36" s="20">
        <f>D33</f>
        <v>4959059.5299999993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Chichester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73548.61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126874.37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1696.42</v>
      </c>
      <c r="D11" s="95">
        <f>'DOE25'!G12</f>
        <v>1034.54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74836.63</v>
      </c>
      <c r="D12" s="95">
        <f>'DOE25'!G13</f>
        <v>5392.06</v>
      </c>
      <c r="E12" s="95">
        <f>'DOE25'!H13</f>
        <v>2880.18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4231.91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1192.8499999999999</v>
      </c>
      <c r="D16" s="95">
        <f>'DOE25'!G17</f>
        <v>15.7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151274.51</v>
      </c>
      <c r="D18" s="41">
        <f>SUM(D8:D17)</f>
        <v>10674.210000000001</v>
      </c>
      <c r="E18" s="41">
        <f>SUM(E8:E17)</f>
        <v>2880.18</v>
      </c>
      <c r="F18" s="41">
        <f>SUM(F8:F17)</f>
        <v>0</v>
      </c>
      <c r="G18" s="41">
        <f>SUM(G8:G17)</f>
        <v>126874.37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 t="str">
        <f>'DOE25'!F22</f>
        <v xml:space="preserve"> </v>
      </c>
      <c r="D21" s="95" t="str">
        <f>'DOE25'!G22</f>
        <v xml:space="preserve"> </v>
      </c>
      <c r="E21" s="95">
        <f>'DOE25'!H22</f>
        <v>2730.96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61335.69</v>
      </c>
      <c r="D22" s="95">
        <f>'DOE25'!G23</f>
        <v>674.21</v>
      </c>
      <c r="E22" s="95">
        <f>'DOE25'!H23</f>
        <v>149.22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7548.04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64073.279999999999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132957.01</v>
      </c>
      <c r="D31" s="41">
        <f>SUM(D21:D30)</f>
        <v>674.21</v>
      </c>
      <c r="E31" s="41">
        <f>SUM(E21:E30)</f>
        <v>2880.18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10000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126874.37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18317.5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18317.5</v>
      </c>
      <c r="D49" s="41">
        <f>SUM(D34:D48)</f>
        <v>10000</v>
      </c>
      <c r="E49" s="41">
        <f>SUM(E34:E48)</f>
        <v>0</v>
      </c>
      <c r="F49" s="41">
        <f>SUM(F34:F48)</f>
        <v>0</v>
      </c>
      <c r="G49" s="41">
        <f>SUM(G34:G48)</f>
        <v>126874.37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151274.51</v>
      </c>
      <c r="D50" s="41">
        <f>D49+D31</f>
        <v>10674.21</v>
      </c>
      <c r="E50" s="41">
        <f>E49+E31</f>
        <v>2880.18</v>
      </c>
      <c r="F50" s="41">
        <f>F49+F31</f>
        <v>0</v>
      </c>
      <c r="G50" s="41">
        <f>G49+G31</f>
        <v>126874.37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3355158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0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3184.93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53279.62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23709.07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-6742.92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23709.07</v>
      </c>
      <c r="D61" s="130">
        <f>SUM(D56:D60)</f>
        <v>53279.62</v>
      </c>
      <c r="E61" s="130">
        <f>SUM(E56:E60)</f>
        <v>0</v>
      </c>
      <c r="F61" s="130">
        <f>SUM(F56:F60)</f>
        <v>0</v>
      </c>
      <c r="G61" s="130">
        <f>SUM(G56:G60)</f>
        <v>-3557.9900000000002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3378867.07</v>
      </c>
      <c r="D62" s="22">
        <f>D55+D61</f>
        <v>53279.62</v>
      </c>
      <c r="E62" s="22">
        <f>E55+E61</f>
        <v>0</v>
      </c>
      <c r="F62" s="22">
        <f>F55+F61</f>
        <v>0</v>
      </c>
      <c r="G62" s="22">
        <f>G55+G61</f>
        <v>-3557.9900000000002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908770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588167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1496937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26016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47722.87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1047.58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73738.87</v>
      </c>
      <c r="D77" s="130">
        <f>SUM(D71:D76)</f>
        <v>1047.58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1570675.87</v>
      </c>
      <c r="D80" s="130">
        <f>SUM(D78:D79)+D77+D69</f>
        <v>1047.58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42953.73</v>
      </c>
      <c r="D87" s="95">
        <f>SUM('DOE25'!G152:G160)</f>
        <v>29740.79</v>
      </c>
      <c r="E87" s="95">
        <f>SUM('DOE25'!H152:H160)</f>
        <v>50973.67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42953.73</v>
      </c>
      <c r="D90" s="131">
        <f>SUM(D84:D89)</f>
        <v>29740.79</v>
      </c>
      <c r="E90" s="131">
        <f>SUM(E84:E89)</f>
        <v>50973.67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24746.91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40000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40000</v>
      </c>
      <c r="D102" s="86">
        <f>SUM(D92:D101)</f>
        <v>24746.91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5032496.67</v>
      </c>
      <c r="D103" s="86">
        <f>D62+D80+D90+D102</f>
        <v>108814.90000000001</v>
      </c>
      <c r="E103" s="86">
        <f>E62+E80+E90+E102</f>
        <v>50973.67</v>
      </c>
      <c r="F103" s="86">
        <f>F62+F80+F90+F102</f>
        <v>0</v>
      </c>
      <c r="G103" s="86">
        <f>G62+G80+G102</f>
        <v>-3557.9900000000002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2763365.51</v>
      </c>
      <c r="D108" s="24" t="s">
        <v>289</v>
      </c>
      <c r="E108" s="95">
        <f>('DOE25'!L275)+('DOE25'!L294)+('DOE25'!L313)</f>
        <v>46722.460000000006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777937.91999999993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50301.75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3591605.1799999997</v>
      </c>
      <c r="D114" s="86">
        <f>SUM(D108:D113)</f>
        <v>0</v>
      </c>
      <c r="E114" s="86">
        <f>SUM(E108:E113)</f>
        <v>46722.460000000006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336551.34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164078.76999999999</v>
      </c>
      <c r="D118" s="24" t="s">
        <v>289</v>
      </c>
      <c r="E118" s="95">
        <f>+('DOE25'!L281)+('DOE25'!L300)+('DOE25'!L319)</f>
        <v>3568.03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141999.49</v>
      </c>
      <c r="D119" s="24" t="s">
        <v>289</v>
      </c>
      <c r="E119" s="95">
        <f>+('DOE25'!L282)+('DOE25'!L301)+('DOE25'!L320)</f>
        <v>683.18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194534.11000000002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283380.01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268778.46999999997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108814.9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1389322.19</v>
      </c>
      <c r="D127" s="86">
        <f>SUM(D117:D126)</f>
        <v>108814.9</v>
      </c>
      <c r="E127" s="86">
        <f>SUM(E117:E126)</f>
        <v>4251.21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92011.98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21573.5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40000</v>
      </c>
    </row>
    <row r="134" spans="1:7" x14ac:dyDescent="0.2">
      <c r="A134" t="s">
        <v>233</v>
      </c>
      <c r="B134" s="32" t="s">
        <v>234</v>
      </c>
      <c r="C134" s="95">
        <f>'DOE25'!L262</f>
        <v>24746.91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-3557.99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3557.99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1557.6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139889.99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40000</v>
      </c>
    </row>
    <row r="144" spans="1:7" ht="12.75" thickTop="1" thickBot="1" x14ac:dyDescent="0.25">
      <c r="A144" s="33" t="s">
        <v>244</v>
      </c>
      <c r="C144" s="86">
        <f>(C114+C127+C143)</f>
        <v>5120817.3599999994</v>
      </c>
      <c r="D144" s="86">
        <f>(D114+D127+D143)</f>
        <v>108814.9</v>
      </c>
      <c r="E144" s="86">
        <f>(E114+E127+E143)</f>
        <v>50973.670000000006</v>
      </c>
      <c r="F144" s="86">
        <f>(F114+F127+F143)</f>
        <v>0</v>
      </c>
      <c r="G144" s="86">
        <f>(G114+G127+G143)</f>
        <v>40000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15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08/03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08/17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1600000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4.08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630000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630000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105000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105000</v>
      </c>
    </row>
    <row r="158" spans="1:9" x14ac:dyDescent="0.2">
      <c r="A158" s="22" t="s">
        <v>35</v>
      </c>
      <c r="B158" s="137">
        <f>'DOE25'!F497</f>
        <v>525000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525000</v>
      </c>
    </row>
    <row r="159" spans="1:9" x14ac:dyDescent="0.2">
      <c r="A159" s="22" t="s">
        <v>36</v>
      </c>
      <c r="B159" s="137">
        <f>'DOE25'!F498</f>
        <v>57566.25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57566.25</v>
      </c>
    </row>
    <row r="160" spans="1:9" x14ac:dyDescent="0.2">
      <c r="A160" s="22" t="s">
        <v>37</v>
      </c>
      <c r="B160" s="137">
        <f>'DOE25'!F499</f>
        <v>582566.25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582566.25</v>
      </c>
    </row>
    <row r="161" spans="1:7" x14ac:dyDescent="0.2">
      <c r="A161" s="22" t="s">
        <v>38</v>
      </c>
      <c r="B161" s="137">
        <f>'DOE25'!F500</f>
        <v>105000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105000</v>
      </c>
    </row>
    <row r="162" spans="1:7" x14ac:dyDescent="0.2">
      <c r="A162" s="22" t="s">
        <v>39</v>
      </c>
      <c r="B162" s="137">
        <f>'DOE25'!F501</f>
        <v>20475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20475</v>
      </c>
    </row>
    <row r="163" spans="1:7" x14ac:dyDescent="0.2">
      <c r="A163" s="22" t="s">
        <v>246</v>
      </c>
      <c r="B163" s="137">
        <f>'DOE25'!F502</f>
        <v>125475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125475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Chichester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14239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14239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2810088</v>
      </c>
      <c r="D10" s="182">
        <f>ROUND((C10/$C$28)*100,1)</f>
        <v>55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777938</v>
      </c>
      <c r="D11" s="182">
        <f>ROUND((C11/$C$28)*100,1)</f>
        <v>15.2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50302</v>
      </c>
      <c r="D13" s="182">
        <f>ROUND((C13/$C$28)*100,1)</f>
        <v>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336551</v>
      </c>
      <c r="D15" s="182">
        <f t="shared" ref="D15:D27" si="0">ROUND((C15/$C$28)*100,1)</f>
        <v>6.6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167647</v>
      </c>
      <c r="D16" s="182">
        <f t="shared" si="0"/>
        <v>3.3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142683</v>
      </c>
      <c r="D17" s="182">
        <f t="shared" si="0"/>
        <v>2.8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194534</v>
      </c>
      <c r="D18" s="182">
        <f t="shared" si="0"/>
        <v>3.8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283380</v>
      </c>
      <c r="D20" s="182">
        <f t="shared" si="0"/>
        <v>5.5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268778</v>
      </c>
      <c r="D21" s="182">
        <f t="shared" si="0"/>
        <v>5.3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21574</v>
      </c>
      <c r="D25" s="182">
        <f t="shared" si="0"/>
        <v>0.4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1557.6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55535.38</v>
      </c>
      <c r="D27" s="182">
        <f t="shared" si="0"/>
        <v>1.1000000000000001</v>
      </c>
    </row>
    <row r="28" spans="1:4" x14ac:dyDescent="0.2">
      <c r="B28" s="187" t="s">
        <v>723</v>
      </c>
      <c r="C28" s="180">
        <f>SUM(C10:C27)</f>
        <v>5110567.9799999995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5110567.9799999995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92012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3355158</v>
      </c>
      <c r="D35" s="182">
        <f t="shared" ref="D35:D40" si="1">ROUND((C35/$C$41)*100,1)</f>
        <v>66.2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20151.079999999609</v>
      </c>
      <c r="D36" s="182">
        <f t="shared" si="1"/>
        <v>0.4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1496937</v>
      </c>
      <c r="D37" s="182">
        <f t="shared" si="1"/>
        <v>29.5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74786</v>
      </c>
      <c r="D38" s="182">
        <f t="shared" si="1"/>
        <v>1.5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123668</v>
      </c>
      <c r="D39" s="182">
        <f t="shared" si="1"/>
        <v>2.4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5070700.08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B8" sqref="B8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Chichester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>
        <v>3</v>
      </c>
      <c r="B4" s="219">
        <v>24</v>
      </c>
      <c r="C4" s="284" t="s">
        <v>912</v>
      </c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>
        <v>16</v>
      </c>
      <c r="B5" s="219">
        <v>9</v>
      </c>
      <c r="C5" s="284" t="s">
        <v>912</v>
      </c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>
        <v>16</v>
      </c>
      <c r="B6" s="219">
        <v>10</v>
      </c>
      <c r="C6" s="284" t="s">
        <v>912</v>
      </c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>
        <v>16</v>
      </c>
      <c r="B7" s="219">
        <v>12</v>
      </c>
      <c r="C7" s="284" t="s">
        <v>912</v>
      </c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2013-09-05T18:04:37Z</cp:lastPrinted>
  <dcterms:created xsi:type="dcterms:W3CDTF">1997-12-04T19:04:30Z</dcterms:created>
  <dcterms:modified xsi:type="dcterms:W3CDTF">2014-03-13T13:49:36Z</dcterms:modified>
</cp:coreProperties>
</file>