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810" windowWidth="12735" windowHeight="57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7" i="1" l="1"/>
  <c r="F49" i="1"/>
  <c r="J590" i="1" l="1"/>
  <c r="H590" i="1"/>
  <c r="J591" i="1"/>
  <c r="C39" i="12" l="1"/>
  <c r="C20" i="12"/>
  <c r="C12" i="12"/>
  <c r="C11" i="12"/>
  <c r="F468" i="1"/>
  <c r="G468" i="1"/>
  <c r="H47" i="1"/>
  <c r="H22" i="1" l="1"/>
  <c r="F159" i="1" l="1"/>
  <c r="H13" i="1" l="1"/>
  <c r="F22" i="1"/>
  <c r="F9" i="1"/>
  <c r="F24" i="1" l="1"/>
  <c r="F100" i="1"/>
  <c r="H224" i="1" l="1"/>
  <c r="H242" i="1"/>
  <c r="H243" i="1"/>
  <c r="H225" i="1"/>
  <c r="H207" i="1"/>
  <c r="I224" i="1"/>
  <c r="H220" i="1"/>
  <c r="H214" i="1"/>
  <c r="H206" i="1"/>
  <c r="H239" i="1"/>
  <c r="F17" i="1"/>
  <c r="F36" i="1"/>
  <c r="F16" i="1"/>
  <c r="H232" i="1" l="1"/>
  <c r="I206" i="1"/>
  <c r="H332" i="1"/>
  <c r="G332" i="1"/>
  <c r="I225" i="1" l="1"/>
  <c r="F48" i="1" l="1"/>
  <c r="F12" i="1" l="1"/>
  <c r="H24" i="1" l="1"/>
  <c r="H29" i="1"/>
  <c r="H14" i="1"/>
  <c r="H522" i="1" l="1"/>
  <c r="H541" i="1"/>
  <c r="H542" i="1"/>
  <c r="H540" i="1"/>
  <c r="F541" i="1"/>
  <c r="F540" i="1"/>
  <c r="D11" i="13" l="1"/>
  <c r="C37" i="12"/>
  <c r="C28" i="12"/>
  <c r="C19" i="12"/>
  <c r="B39" i="12"/>
  <c r="B37" i="12" s="1"/>
  <c r="B28" i="12"/>
  <c r="B20" i="12"/>
  <c r="B19" i="12"/>
  <c r="C10" i="12"/>
  <c r="B12" i="12"/>
  <c r="B10" i="12"/>
  <c r="B11" i="12"/>
  <c r="H367" i="1" l="1"/>
  <c r="G367" i="1"/>
  <c r="F367" i="1"/>
  <c r="H160" i="1"/>
  <c r="H154" i="1"/>
  <c r="H156" i="1"/>
  <c r="H158" i="1"/>
  <c r="H134" i="1"/>
  <c r="J603" i="1"/>
  <c r="I603" i="1"/>
  <c r="H603" i="1"/>
  <c r="J532" i="1"/>
  <c r="H532" i="1"/>
  <c r="J531" i="1"/>
  <c r="H531" i="1"/>
  <c r="J530" i="1"/>
  <c r="H530" i="1"/>
  <c r="H366" i="1"/>
  <c r="G366" i="1"/>
  <c r="F366" i="1"/>
  <c r="H594" i="1" l="1"/>
  <c r="I594" i="1"/>
  <c r="J594" i="1"/>
  <c r="J593" i="1"/>
  <c r="I593" i="1"/>
  <c r="H578" i="1"/>
  <c r="H581" i="1"/>
  <c r="F581" i="1"/>
  <c r="I591" i="1"/>
  <c r="G579" i="1"/>
  <c r="G581" i="1"/>
  <c r="F578" i="1"/>
  <c r="K522" i="1" l="1"/>
  <c r="K521" i="1"/>
  <c r="K520" i="1"/>
  <c r="I520" i="1"/>
  <c r="J522" i="1"/>
  <c r="J521" i="1"/>
  <c r="J520" i="1"/>
  <c r="I522" i="1"/>
  <c r="I521" i="1"/>
  <c r="H521" i="1"/>
  <c r="H520" i="1"/>
  <c r="G522" i="1"/>
  <c r="G521" i="1"/>
  <c r="G520" i="1"/>
  <c r="F522" i="1"/>
  <c r="F521" i="1"/>
  <c r="F520" i="1"/>
  <c r="F197" i="1"/>
  <c r="F31" i="1" l="1"/>
  <c r="F77" i="1"/>
  <c r="G13" i="1" l="1"/>
  <c r="G243" i="1" l="1"/>
  <c r="I242" i="1"/>
  <c r="G242" i="1"/>
  <c r="F242" i="1"/>
  <c r="H240" i="1"/>
  <c r="G240" i="1"/>
  <c r="F240" i="1"/>
  <c r="I239" i="1"/>
  <c r="G239" i="1"/>
  <c r="F239" i="1"/>
  <c r="J238" i="1"/>
  <c r="I238" i="1"/>
  <c r="H238" i="1"/>
  <c r="G238" i="1"/>
  <c r="F238" i="1"/>
  <c r="G237" i="1"/>
  <c r="F237" i="1"/>
  <c r="H235" i="1"/>
  <c r="G235" i="1"/>
  <c r="J234" i="1"/>
  <c r="I234" i="1"/>
  <c r="H234" i="1"/>
  <c r="G234" i="1"/>
  <c r="F234" i="1"/>
  <c r="H233" i="1"/>
  <c r="I233" i="1"/>
  <c r="G233" i="1"/>
  <c r="F233" i="1"/>
  <c r="I232" i="1"/>
  <c r="G232" i="1"/>
  <c r="F232" i="1"/>
  <c r="G225" i="1"/>
  <c r="F225" i="1"/>
  <c r="G224" i="1"/>
  <c r="H222" i="1"/>
  <c r="G222" i="1"/>
  <c r="F222" i="1"/>
  <c r="I220" i="1"/>
  <c r="G220" i="1"/>
  <c r="G219" i="1"/>
  <c r="F219" i="1"/>
  <c r="G216" i="1"/>
  <c r="I215" i="1"/>
  <c r="H215" i="1"/>
  <c r="G215" i="1"/>
  <c r="F215" i="1"/>
  <c r="J214" i="1"/>
  <c r="I214" i="1"/>
  <c r="G214" i="1"/>
  <c r="G196" i="1"/>
  <c r="J208" i="1"/>
  <c r="G206" i="1"/>
  <c r="H204" i="1"/>
  <c r="G204" i="1"/>
  <c r="F204" i="1"/>
  <c r="J202" i="1"/>
  <c r="I202" i="1"/>
  <c r="H202" i="1"/>
  <c r="G202" i="1"/>
  <c r="F202" i="1"/>
  <c r="I201" i="1"/>
  <c r="G201" i="1"/>
  <c r="F201" i="1"/>
  <c r="H197" i="1"/>
  <c r="G197" i="1"/>
  <c r="J196" i="1"/>
  <c r="H196" i="1"/>
  <c r="I196" i="1"/>
  <c r="F214" i="1"/>
  <c r="F196" i="1"/>
  <c r="F29" i="1" l="1"/>
  <c r="H155" i="1"/>
  <c r="H153" i="1"/>
  <c r="G471" i="1" l="1"/>
  <c r="G157" i="1"/>
  <c r="G131" i="1"/>
  <c r="F95" i="1"/>
  <c r="F109" i="1" l="1"/>
  <c r="F56" i="1"/>
  <c r="I359" i="1"/>
  <c r="I358" i="1"/>
  <c r="I357" i="1"/>
  <c r="H359" i="1"/>
  <c r="H358" i="1"/>
  <c r="H357" i="1"/>
  <c r="G359" i="1"/>
  <c r="G358" i="1"/>
  <c r="G357" i="1"/>
  <c r="F359" i="1"/>
  <c r="F358" i="1"/>
  <c r="F357" i="1"/>
  <c r="K322" i="1"/>
  <c r="K303" i="1"/>
  <c r="K284" i="1"/>
  <c r="H324" i="1"/>
  <c r="H305" i="1"/>
  <c r="H286" i="1"/>
  <c r="I321" i="1"/>
  <c r="H321" i="1"/>
  <c r="I302" i="1"/>
  <c r="H302" i="1"/>
  <c r="H283" i="1"/>
  <c r="F283" i="1"/>
  <c r="K320" i="1"/>
  <c r="K301" i="1"/>
  <c r="K282" i="1"/>
  <c r="J319" i="1"/>
  <c r="J300" i="1"/>
  <c r="J281" i="1"/>
  <c r="I280" i="1"/>
  <c r="H280" i="1"/>
  <c r="G280" i="1"/>
  <c r="F280" i="1"/>
  <c r="I299" i="1"/>
  <c r="H299" i="1"/>
  <c r="G299" i="1"/>
  <c r="F299" i="1"/>
  <c r="I318" i="1"/>
  <c r="H318" i="1"/>
  <c r="G318" i="1"/>
  <c r="F318" i="1"/>
  <c r="I314" i="1"/>
  <c r="H314" i="1"/>
  <c r="J314" i="1"/>
  <c r="G314" i="1"/>
  <c r="F314" i="1"/>
  <c r="J276" i="1"/>
  <c r="I276" i="1"/>
  <c r="H276" i="1"/>
  <c r="G276" i="1"/>
  <c r="F276" i="1"/>
  <c r="J295" i="1"/>
  <c r="I295" i="1"/>
  <c r="H295" i="1"/>
  <c r="G295" i="1"/>
  <c r="F295" i="1"/>
  <c r="H294" i="1"/>
  <c r="I294" i="1"/>
  <c r="G313" i="1"/>
  <c r="F313" i="1"/>
  <c r="G294" i="1"/>
  <c r="F294" i="1"/>
  <c r="I278" i="1"/>
  <c r="H278" i="1"/>
  <c r="G278" i="1"/>
  <c r="F278" i="1"/>
  <c r="J243" i="1" l="1"/>
  <c r="I243" i="1"/>
  <c r="F243" i="1"/>
  <c r="J225" i="1"/>
  <c r="J207" i="1"/>
  <c r="I207" i="1"/>
  <c r="G207" i="1"/>
  <c r="F207" i="1"/>
  <c r="I221" i="1"/>
  <c r="H221" i="1"/>
  <c r="G221" i="1"/>
  <c r="F221" i="1"/>
  <c r="J220" i="1"/>
  <c r="F220" i="1"/>
  <c r="H203" i="1"/>
  <c r="J240" i="1"/>
  <c r="J242" i="1"/>
  <c r="H237" i="1"/>
  <c r="J222" i="1"/>
  <c r="J224" i="1"/>
  <c r="F224" i="1"/>
  <c r="H219" i="1"/>
  <c r="J204" i="1"/>
  <c r="J206" i="1"/>
  <c r="F206" i="1"/>
  <c r="H201" i="1"/>
  <c r="I197" i="1"/>
  <c r="G320" i="1" l="1"/>
  <c r="F320" i="1"/>
  <c r="H316" i="1"/>
  <c r="G316" i="1"/>
  <c r="F316" i="1"/>
  <c r="I316" i="1"/>
  <c r="J280" i="1"/>
  <c r="H281" i="1"/>
  <c r="J301" i="1"/>
  <c r="H301" i="1"/>
  <c r="I301" i="1"/>
  <c r="I300" i="1"/>
  <c r="H300" i="1"/>
  <c r="J299" i="1"/>
  <c r="J315" i="1"/>
  <c r="I315" i="1"/>
  <c r="H315" i="1"/>
  <c r="G315" i="1"/>
  <c r="F315" i="1"/>
  <c r="G281" i="1"/>
  <c r="F281" i="1"/>
  <c r="H275" i="1"/>
  <c r="I240" i="1" l="1"/>
  <c r="K240" i="1"/>
  <c r="K237" i="1"/>
  <c r="J237" i="1"/>
  <c r="I237" i="1"/>
  <c r="F235" i="1"/>
  <c r="K235" i="1"/>
  <c r="J235" i="1"/>
  <c r="I235" i="1"/>
  <c r="K232" i="1"/>
  <c r="J232" i="1"/>
  <c r="K222" i="1" l="1"/>
  <c r="I222" i="1"/>
  <c r="I219" i="1"/>
  <c r="J219" i="1"/>
  <c r="J217" i="1"/>
  <c r="I217" i="1"/>
  <c r="H217" i="1"/>
  <c r="G217" i="1"/>
  <c r="F217" i="1"/>
  <c r="J216" i="1"/>
  <c r="I216" i="1"/>
  <c r="H216" i="1"/>
  <c r="F216" i="1"/>
  <c r="K214" i="1"/>
  <c r="K204" i="1" l="1"/>
  <c r="I204" i="1"/>
  <c r="K196" i="1"/>
  <c r="K202" i="1" l="1"/>
  <c r="J197" i="1"/>
  <c r="C37" i="10" l="1"/>
  <c r="F40" i="2" l="1"/>
  <c r="D39" i="2"/>
  <c r="G654" i="1"/>
  <c r="F47" i="2"/>
  <c r="E47" i="2"/>
  <c r="D47" i="2"/>
  <c r="C47" i="2"/>
  <c r="F46" i="2"/>
  <c r="E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C121" i="2" s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K590" i="1" s="1"/>
  <c r="L225" i="1"/>
  <c r="I590" i="1" s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E113" i="2" s="1"/>
  <c r="L333" i="1"/>
  <c r="L334" i="1"/>
  <c r="L259" i="1"/>
  <c r="C130" i="2" s="1"/>
  <c r="L260" i="1"/>
  <c r="C25" i="10" s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F168" i="1" s="1"/>
  <c r="G146" i="1"/>
  <c r="G161" i="1"/>
  <c r="H146" i="1"/>
  <c r="H161" i="1"/>
  <c r="I146" i="1"/>
  <c r="I161" i="1"/>
  <c r="L249" i="1"/>
  <c r="L331" i="1"/>
  <c r="C23" i="10" s="1"/>
  <c r="L253" i="1"/>
  <c r="L267" i="1"/>
  <c r="L268" i="1"/>
  <c r="L348" i="1"/>
  <c r="L349" i="1"/>
  <c r="I664" i="1"/>
  <c r="I669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F551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D18" i="2" s="1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C55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C77" i="2" s="1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C90" i="2" s="1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0" i="2"/>
  <c r="C111" i="2"/>
  <c r="C112" i="2"/>
  <c r="E112" i="2"/>
  <c r="C113" i="2"/>
  <c r="D114" i="2"/>
  <c r="F114" i="2"/>
  <c r="G114" i="2"/>
  <c r="E120" i="2"/>
  <c r="E122" i="2"/>
  <c r="C124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F50" i="1" s="1"/>
  <c r="G621" i="1" s="1"/>
  <c r="G32" i="1"/>
  <c r="H32" i="1"/>
  <c r="I32" i="1"/>
  <c r="H50" i="1"/>
  <c r="G623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K351" i="1" s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F451" i="1"/>
  <c r="G451" i="1"/>
  <c r="H451" i="1"/>
  <c r="I458" i="1" s="1"/>
  <c r="F459" i="1"/>
  <c r="G459" i="1"/>
  <c r="H459" i="1"/>
  <c r="H460" i="1" s="1"/>
  <c r="H640" i="1" s="1"/>
  <c r="G460" i="1"/>
  <c r="I469" i="1"/>
  <c r="J469" i="1"/>
  <c r="G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G544" i="1" s="1"/>
  <c r="H533" i="1"/>
  <c r="I533" i="1"/>
  <c r="J533" i="1"/>
  <c r="J544" i="1" s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L613" i="1"/>
  <c r="G617" i="1"/>
  <c r="G619" i="1"/>
  <c r="G624" i="1"/>
  <c r="H629" i="1"/>
  <c r="H630" i="1"/>
  <c r="H634" i="1"/>
  <c r="H635" i="1"/>
  <c r="H636" i="1"/>
  <c r="H637" i="1"/>
  <c r="G639" i="1"/>
  <c r="H639" i="1"/>
  <c r="G640" i="1"/>
  <c r="G642" i="1"/>
  <c r="H642" i="1"/>
  <c r="G643" i="1"/>
  <c r="H643" i="1"/>
  <c r="G644" i="1"/>
  <c r="H644" i="1"/>
  <c r="G649" i="1"/>
  <c r="G651" i="1"/>
  <c r="H651" i="1"/>
  <c r="G652" i="1"/>
  <c r="H652" i="1"/>
  <c r="G653" i="1"/>
  <c r="H653" i="1"/>
  <c r="H654" i="1"/>
  <c r="F191" i="1"/>
  <c r="L255" i="1"/>
  <c r="G159" i="2"/>
  <c r="F31" i="2"/>
  <c r="C26" i="10"/>
  <c r="L350" i="1"/>
  <c r="C69" i="2"/>
  <c r="G161" i="2"/>
  <c r="D61" i="2"/>
  <c r="D62" i="2" s="1"/>
  <c r="D18" i="13"/>
  <c r="C18" i="13" s="1"/>
  <c r="F102" i="2"/>
  <c r="D17" i="13"/>
  <c r="C17" i="13" s="1"/>
  <c r="G158" i="2"/>
  <c r="G80" i="2"/>
  <c r="F77" i="2"/>
  <c r="F80" i="2" s="1"/>
  <c r="F61" i="2"/>
  <c r="F62" i="2" s="1"/>
  <c r="G156" i="2"/>
  <c r="F49" i="2"/>
  <c r="F50" i="2" s="1"/>
  <c r="F18" i="2"/>
  <c r="G162" i="2"/>
  <c r="E143" i="2"/>
  <c r="G102" i="2"/>
  <c r="E102" i="2"/>
  <c r="C102" i="2"/>
  <c r="D90" i="2"/>
  <c r="F90" i="2"/>
  <c r="E61" i="2"/>
  <c r="E62" i="2" s="1"/>
  <c r="G61" i="2"/>
  <c r="D19" i="13"/>
  <c r="C19" i="13" s="1"/>
  <c r="E77" i="2"/>
  <c r="E80" i="2" s="1"/>
  <c r="L426" i="1"/>
  <c r="H111" i="1"/>
  <c r="J570" i="1"/>
  <c r="K570" i="1"/>
  <c r="L432" i="1"/>
  <c r="L418" i="1"/>
  <c r="I168" i="1"/>
  <c r="H168" i="1"/>
  <c r="G551" i="1"/>
  <c r="J643" i="1"/>
  <c r="J642" i="1"/>
  <c r="J475" i="1"/>
  <c r="H625" i="1" s="1"/>
  <c r="I475" i="1"/>
  <c r="H624" i="1" s="1"/>
  <c r="J624" i="1" s="1"/>
  <c r="J139" i="1"/>
  <c r="F570" i="1"/>
  <c r="I551" i="1"/>
  <c r="G22" i="2"/>
  <c r="K544" i="1"/>
  <c r="C29" i="10"/>
  <c r="H139" i="1"/>
  <c r="L400" i="1"/>
  <c r="C138" i="2" s="1"/>
  <c r="L392" i="1"/>
  <c r="F22" i="13"/>
  <c r="J639" i="1"/>
  <c r="H570" i="1"/>
  <c r="L559" i="1"/>
  <c r="G191" i="1"/>
  <c r="H191" i="1"/>
  <c r="C35" i="10"/>
  <c r="E16" i="13"/>
  <c r="J654" i="1"/>
  <c r="J644" i="1"/>
  <c r="L569" i="1"/>
  <c r="I570" i="1"/>
  <c r="I544" i="1"/>
  <c r="J635" i="1"/>
  <c r="G36" i="2"/>
  <c r="L564" i="1"/>
  <c r="C22" i="13"/>
  <c r="C137" i="2"/>
  <c r="C16" i="13"/>
  <c r="C48" i="2" l="1"/>
  <c r="L336" i="1"/>
  <c r="F460" i="1"/>
  <c r="H638" i="1" s="1"/>
  <c r="J638" i="1"/>
  <c r="I451" i="1"/>
  <c r="G47" i="1"/>
  <c r="J551" i="1"/>
  <c r="L533" i="1"/>
  <c r="C49" i="2"/>
  <c r="A31" i="12"/>
  <c r="A40" i="12"/>
  <c r="A13" i="12"/>
  <c r="J47" i="1"/>
  <c r="G46" i="2" s="1"/>
  <c r="G49" i="2" s="1"/>
  <c r="I459" i="1"/>
  <c r="I460" i="1" s="1"/>
  <c r="H641" i="1" s="1"/>
  <c r="I445" i="1"/>
  <c r="G641" i="1" s="1"/>
  <c r="J640" i="1"/>
  <c r="H551" i="1"/>
  <c r="K548" i="1"/>
  <c r="J633" i="1"/>
  <c r="K502" i="1"/>
  <c r="K499" i="1"/>
  <c r="K549" i="1"/>
  <c r="L543" i="1"/>
  <c r="K597" i="1"/>
  <c r="G646" i="1" s="1"/>
  <c r="H544" i="1"/>
  <c r="K550" i="1"/>
  <c r="E18" i="2"/>
  <c r="C131" i="2"/>
  <c r="C32" i="10"/>
  <c r="H25" i="13"/>
  <c r="C31" i="2"/>
  <c r="C18" i="2"/>
  <c r="E49" i="2"/>
  <c r="D31" i="2"/>
  <c r="E31" i="2"/>
  <c r="H51" i="1"/>
  <c r="H618" i="1" s="1"/>
  <c r="J618" i="1" s="1"/>
  <c r="F51" i="1"/>
  <c r="H616" i="1" s="1"/>
  <c r="J616" i="1" s="1"/>
  <c r="F111" i="1"/>
  <c r="C36" i="10" s="1"/>
  <c r="C56" i="2"/>
  <c r="C61" i="2" s="1"/>
  <c r="C62" i="2" s="1"/>
  <c r="C80" i="2"/>
  <c r="F660" i="1"/>
  <c r="H660" i="1"/>
  <c r="C19" i="10"/>
  <c r="E121" i="2"/>
  <c r="E123" i="2"/>
  <c r="H661" i="1"/>
  <c r="C17" i="10"/>
  <c r="E118" i="2"/>
  <c r="E117" i="2"/>
  <c r="E109" i="2"/>
  <c r="E108" i="2"/>
  <c r="E111" i="2"/>
  <c r="F337" i="1"/>
  <c r="F351" i="1" s="1"/>
  <c r="G650" i="1"/>
  <c r="J650" i="1" s="1"/>
  <c r="E8" i="13"/>
  <c r="C8" i="13" s="1"/>
  <c r="C119" i="2"/>
  <c r="C18" i="10"/>
  <c r="D29" i="13"/>
  <c r="C29" i="13" s="1"/>
  <c r="D126" i="2"/>
  <c r="D127" i="2" s="1"/>
  <c r="D144" i="2" s="1"/>
  <c r="G660" i="1"/>
  <c r="L361" i="1"/>
  <c r="C27" i="10" s="1"/>
  <c r="E119" i="2"/>
  <c r="L327" i="1"/>
  <c r="C13" i="10"/>
  <c r="L308" i="1"/>
  <c r="G661" i="1"/>
  <c r="H337" i="1"/>
  <c r="H351" i="1" s="1"/>
  <c r="G337" i="1"/>
  <c r="G351" i="1" s="1"/>
  <c r="L289" i="1"/>
  <c r="J337" i="1"/>
  <c r="J351" i="1" s="1"/>
  <c r="C12" i="10"/>
  <c r="C108" i="2"/>
  <c r="C20" i="10"/>
  <c r="C110" i="2"/>
  <c r="J256" i="1"/>
  <c r="J270" i="1" s="1"/>
  <c r="L246" i="1"/>
  <c r="C10" i="10"/>
  <c r="C21" i="10"/>
  <c r="K256" i="1"/>
  <c r="K270" i="1" s="1"/>
  <c r="C120" i="2"/>
  <c r="C16" i="10"/>
  <c r="D6" i="13"/>
  <c r="C6" i="13" s="1"/>
  <c r="H256" i="1"/>
  <c r="H270" i="1" s="1"/>
  <c r="L228" i="1"/>
  <c r="G256" i="1"/>
  <c r="G270" i="1" s="1"/>
  <c r="C11" i="10"/>
  <c r="I256" i="1"/>
  <c r="I270" i="1" s="1"/>
  <c r="F256" i="1"/>
  <c r="F270" i="1" s="1"/>
  <c r="H646" i="1"/>
  <c r="C123" i="2"/>
  <c r="D15" i="13"/>
  <c r="C15" i="13" s="1"/>
  <c r="G648" i="1"/>
  <c r="J648" i="1" s="1"/>
  <c r="F661" i="1"/>
  <c r="D14" i="13"/>
  <c r="C14" i="13" s="1"/>
  <c r="C122" i="2"/>
  <c r="D12" i="13"/>
  <c r="C12" i="13" s="1"/>
  <c r="E13" i="13"/>
  <c r="C13" i="13" s="1"/>
  <c r="D7" i="13"/>
  <c r="C7" i="13" s="1"/>
  <c r="C118" i="2"/>
  <c r="C117" i="2"/>
  <c r="C15" i="10"/>
  <c r="C109" i="2"/>
  <c r="L210" i="1"/>
  <c r="D5" i="13"/>
  <c r="C5" i="13" s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168" i="1"/>
  <c r="C39" i="10" s="1"/>
  <c r="G139" i="1"/>
  <c r="F139" i="1"/>
  <c r="G62" i="2"/>
  <c r="G103" i="2" s="1"/>
  <c r="G42" i="2"/>
  <c r="G16" i="2"/>
  <c r="J19" i="1"/>
  <c r="G620" i="1" s="1"/>
  <c r="G18" i="2"/>
  <c r="F544" i="1"/>
  <c r="H433" i="1"/>
  <c r="J619" i="1"/>
  <c r="D102" i="2"/>
  <c r="D103" i="2" s="1"/>
  <c r="I139" i="1"/>
  <c r="I192" i="1" s="1"/>
  <c r="G629" i="1" s="1"/>
  <c r="J629" i="1" s="1"/>
  <c r="A22" i="12"/>
  <c r="H645" i="1"/>
  <c r="J651" i="1"/>
  <c r="G570" i="1"/>
  <c r="I433" i="1"/>
  <c r="G433" i="1"/>
  <c r="I662" i="1"/>
  <c r="C50" i="2" l="1"/>
  <c r="J646" i="1"/>
  <c r="J50" i="1"/>
  <c r="J641" i="1"/>
  <c r="D46" i="2"/>
  <c r="D49" i="2" s="1"/>
  <c r="D50" i="2" s="1"/>
  <c r="G50" i="1"/>
  <c r="L544" i="1"/>
  <c r="G50" i="2"/>
  <c r="G628" i="1"/>
  <c r="H467" i="1"/>
  <c r="K551" i="1"/>
  <c r="C25" i="13"/>
  <c r="H33" i="13"/>
  <c r="I661" i="1"/>
  <c r="F192" i="1"/>
  <c r="E50" i="2"/>
  <c r="C103" i="2"/>
  <c r="I660" i="1"/>
  <c r="E127" i="2"/>
  <c r="E114" i="2"/>
  <c r="G659" i="1"/>
  <c r="G663" i="1" s="1"/>
  <c r="G666" i="1" s="1"/>
  <c r="E33" i="13"/>
  <c r="D35" i="13" s="1"/>
  <c r="G634" i="1"/>
  <c r="J634" i="1" s="1"/>
  <c r="L337" i="1"/>
  <c r="H659" i="1"/>
  <c r="H663" i="1" s="1"/>
  <c r="H666" i="1" s="1"/>
  <c r="F659" i="1"/>
  <c r="F663" i="1" s="1"/>
  <c r="F671" i="1" s="1"/>
  <c r="C4" i="10" s="1"/>
  <c r="D31" i="13"/>
  <c r="C31" i="13" s="1"/>
  <c r="C114" i="2"/>
  <c r="H647" i="1"/>
  <c r="J647" i="1" s="1"/>
  <c r="C28" i="10"/>
  <c r="D23" i="10" s="1"/>
  <c r="C127" i="2"/>
  <c r="L256" i="1"/>
  <c r="G630" i="1"/>
  <c r="J630" i="1" s="1"/>
  <c r="J645" i="1"/>
  <c r="G192" i="1"/>
  <c r="G625" i="1"/>
  <c r="J625" i="1" s="1"/>
  <c r="J51" i="1"/>
  <c r="H620" i="1" s="1"/>
  <c r="J620" i="1" s="1"/>
  <c r="C38" i="10"/>
  <c r="L351" i="1" l="1"/>
  <c r="G632" i="1" s="1"/>
  <c r="H471" i="1"/>
  <c r="G622" i="1"/>
  <c r="G51" i="1"/>
  <c r="H617" i="1" s="1"/>
  <c r="J617" i="1" s="1"/>
  <c r="H469" i="1"/>
  <c r="H628" i="1"/>
  <c r="J628" i="1" s="1"/>
  <c r="G627" i="1"/>
  <c r="G467" i="1"/>
  <c r="L270" i="1"/>
  <c r="G626" i="1"/>
  <c r="F467" i="1"/>
  <c r="E144" i="2"/>
  <c r="G671" i="1"/>
  <c r="C5" i="10" s="1"/>
  <c r="H671" i="1"/>
  <c r="C6" i="10" s="1"/>
  <c r="I659" i="1"/>
  <c r="I663" i="1" s="1"/>
  <c r="I671" i="1" s="1"/>
  <c r="C7" i="10" s="1"/>
  <c r="D24" i="10"/>
  <c r="D33" i="13"/>
  <c r="D36" i="13" s="1"/>
  <c r="C144" i="2"/>
  <c r="D15" i="10"/>
  <c r="D11" i="10"/>
  <c r="D27" i="10"/>
  <c r="D21" i="10"/>
  <c r="D18" i="10"/>
  <c r="D12" i="10"/>
  <c r="D20" i="10"/>
  <c r="D25" i="10"/>
  <c r="D13" i="10"/>
  <c r="D17" i="10"/>
  <c r="D22" i="10"/>
  <c r="D19" i="10"/>
  <c r="D10" i="10"/>
  <c r="D26" i="10"/>
  <c r="C30" i="10"/>
  <c r="D16" i="10"/>
  <c r="F666" i="1"/>
  <c r="C41" i="10"/>
  <c r="D38" i="10" s="1"/>
  <c r="H473" i="1" l="1"/>
  <c r="H475" i="1" s="1"/>
  <c r="H623" i="1" s="1"/>
  <c r="J623" i="1" s="1"/>
  <c r="H632" i="1"/>
  <c r="J632" i="1" s="1"/>
  <c r="G631" i="1"/>
  <c r="F471" i="1"/>
  <c r="F473" i="1" s="1"/>
  <c r="G469" i="1"/>
  <c r="G475" i="1" s="1"/>
  <c r="H622" i="1" s="1"/>
  <c r="J622" i="1" s="1"/>
  <c r="H627" i="1"/>
  <c r="J627" i="1"/>
  <c r="F469" i="1"/>
  <c r="H626" i="1"/>
  <c r="J626" i="1" s="1"/>
  <c r="I666" i="1"/>
  <c r="D28" i="10"/>
  <c r="D37" i="10"/>
  <c r="D36" i="10"/>
  <c r="D35" i="10"/>
  <c r="D40" i="10"/>
  <c r="D39" i="10"/>
  <c r="H631" i="1" l="1"/>
  <c r="J631" i="1" s="1"/>
  <c r="F475" i="1"/>
  <c r="H621" i="1" s="1"/>
  <c r="J621" i="1" s="1"/>
  <c r="D41" i="10"/>
  <c r="H655" i="1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<sst xmlns="http://schemas.openxmlformats.org/spreadsheetml/2006/main" count="3946" uniqueCount="912">
  <si>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</si>
  <si>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</si>
  <si>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</si>
  <si>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</si>
  <si>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</si>
  <si>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</si>
  <si>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</si>
  <si>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</si>
  <si>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</si>
  <si>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</si>
  <si>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</si>
  <si>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</si>
  <si>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</si>
  <si>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</si>
  <si>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</si>
  <si>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</si>
  <si>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</si>
  <si>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</si>
  <si>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</si>
  <si>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</si>
  <si>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</si>
  <si>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</si>
  <si>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</si>
  <si>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</si>
  <si>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</si>
  <si>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</si>
  <si>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</si>
  <si>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</si>
  <si>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</si>
  <si>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</si>
  <si>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</si>
  <si>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</si>
  <si>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</si>
  <si>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</si>
  <si>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</si>
  <si>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</si>
  <si>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</si>
  <si>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</si>
  <si>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</si>
  <si>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</si>
  <si>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</si>
  <si>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</si>
  <si>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</si>
  <si>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</si>
  <si>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</si>
  <si>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</si>
  <si>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</si>
  <si>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</si>
  <si>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</si>
  <si>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</si>
  <si>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</si>
  <si>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</si>
  <si>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</si>
  <si>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</si>
  <si>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</si>
  <si>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</si>
  <si>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</si>
  <si>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</si>
  <si>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</si>
  <si>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</si>
  <si>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</si>
  <si>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</si>
  <si>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</si>
  <si>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</si>
  <si>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</si>
  <si>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</si>
  <si>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</si>
  <si>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</si>
  <si>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</si>
  <si>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</si>
  <si>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</si>
  <si>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</si>
  <si>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</si>
  <si>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</si>
  <si>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</si>
  <si>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</si>
  <si>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</si>
  <si>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</si>
  <si>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</si>
  <si>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</si>
  <si>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</si>
  <si>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</si>
  <si>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</si>
  <si>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</si>
  <si>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</si>
  <si>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</si>
  <si>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</si>
  <si>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</si>
  <si>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</si>
  <si>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</si>
  <si>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</si>
  <si>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</si>
  <si>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</si>
  <si>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</si>
  <si>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</si>
  <si>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</si>
  <si>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</si>
  <si>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</si>
  <si>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</si>
  <si>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</si>
  <si>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</si>
  <si>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</si>
  <si>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</si>
  <si>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</si>
  <si>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</si>
  <si>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</si>
  <si>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</si>
  <si>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</si>
  <si>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</si>
  <si>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</si>
  <si>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</si>
  <si>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</si>
  <si>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</si>
  <si>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</si>
  <si>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</si>
  <si>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</si>
  <si>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</si>
  <si>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</si>
  <si>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</si>
  <si>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</si>
  <si>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</si>
  <si>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</si>
  <si>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</si>
  <si>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</si>
  <si>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</si>
  <si>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</si>
  <si>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</si>
  <si>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</si>
  <si>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</si>
  <si>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</si>
  <si>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</si>
  <si>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</si>
  <si>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</si>
  <si>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</si>
  <si>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</si>
  <si>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</si>
  <si>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</si>
  <si>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</si>
  <si>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</si>
  <si>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</si>
  <si>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</si>
  <si>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</si>
  <si>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</si>
  <si>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</si>
  <si>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</si>
  <si>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</si>
  <si>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</si>
  <si>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</si>
  <si>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</si>
  <si>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</si>
  <si>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</si>
  <si>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</si>
  <si>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</si>
  <si>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</si>
  <si>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</si>
  <si>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</si>
  <si>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</si>
  <si>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</si>
  <si>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</si>
  <si>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</si>
  <si>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</si>
  <si>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</si>
  <si>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</si>
  <si>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</si>
  <si>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</si>
  <si>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</si>
  <si>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</si>
  <si>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</si>
  <si>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</si>
  <si>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</si>
  <si>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</si>
  <si>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</si>
  <si>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</si>
  <si>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</si>
  <si>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</si>
  <si>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</si>
  <si>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</si>
  <si>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</si>
  <si>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</si>
  <si>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</si>
  <si>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</si>
  <si>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</si>
  <si>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</si>
  <si>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</si>
  <si>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</si>
  <si>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</si>
  <si>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</si>
  <si>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</si>
  <si>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</si>
  <si>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</si>
  <si>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</si>
  <si>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</si>
  <si>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</si>
  <si>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</si>
  <si>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</si>
  <si>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</si>
  <si>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</si>
  <si>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</si>
  <si>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</si>
  <si>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</si>
  <si>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</si>
  <si>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</si>
  <si>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</si>
  <si>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</si>
  <si>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</si>
  <si>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</si>
  <si>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</si>
  <si>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</si>
  <si>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</si>
  <si>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</si>
  <si>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</si>
  <si>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</si>
  <si>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</si>
  <si>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</si>
  <si>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</si>
  <si>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</si>
  <si>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</si>
  <si>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</si>
  <si>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</si>
  <si>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</si>
  <si>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</si>
  <si>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</si>
  <si>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</si>
  <si>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</si>
  <si>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</si>
  <si>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</si>
  <si>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</si>
  <si>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</si>
  <si>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</si>
  <si>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</si>
  <si>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</si>
  <si>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</si>
  <si>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</si>
  <si>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</si>
  <si>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</si>
  <si>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</si>
  <si>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</si>
  <si>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</si>
  <si>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</si>
  <si>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</si>
  <si>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</si>
  <si>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</si>
  <si>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</si>
  <si>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</si>
  <si>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</si>
  <si>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</si>
  <si>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</si>
  <si>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</si>
  <si>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</si>
  <si>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</si>
  <si>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</si>
  <si>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</si>
  <si>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</si>
  <si>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</si>
  <si>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</si>
  <si>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</si>
  <si>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</si>
  <si>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</si>
  <si>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</si>
  <si>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</si>
  <si>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</si>
  <si>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</si>
  <si>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</si>
  <si>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</si>
  <si>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</si>
  <si>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</si>
  <si>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</si>
  <si>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</si>
  <si>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</si>
  <si>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</si>
  <si>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</si>
  <si>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</si>
  <si>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</si>
  <si>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</si>
  <si>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</si>
  <si>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</si>
  <si>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</si>
  <si>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</si>
  <si>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</si>
  <si>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</si>
  <si>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</si>
  <si>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</si>
  <si>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</si>
  <si>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</si>
  <si>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</si>
  <si>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</si>
  <si>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</si>
  <si>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</si>
  <si>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</si>
  <si>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</si>
  <si>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</si>
  <si>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</si>
  <si>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</si>
  <si>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</si>
  <si>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</si>
  <si>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</si>
  <si>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</si>
  <si>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</si>
  <si>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</si>
  <si>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</si>
  <si>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</si>
  <si>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</si>
  <si>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</si>
  <si>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</si>
  <si>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</si>
  <si>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</si>
  <si>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</si>
  <si>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</si>
  <si>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</si>
  <si>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</si>
  <si>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</si>
  <si>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</si>
  <si>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</si>
  <si>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</si>
  <si>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</si>
  <si>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</si>
  <si>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</si>
  <si>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</si>
  <si>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</si>
  <si>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</si>
  <si>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</si>
  <si>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</si>
  <si>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</si>
  <si>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</si>
  <si>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</si>
  <si>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</si>
  <si>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</si>
  <si>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</si>
  <si>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</si>
  <si>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</si>
  <si>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</si>
  <si>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</si>
  <si>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</si>
  <si>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</si>
  <si>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</si>
  <si>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</si>
  <si>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</si>
  <si>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</si>
  <si>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</si>
  <si>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</si>
  <si>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</si>
  <si>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</si>
  <si>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</si>
  <si>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</si>
  <si>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</si>
  <si>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</si>
  <si>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</si>
  <si>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</si>
  <si>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</si>
  <si>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</si>
  <si>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</si>
  <si>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</si>
  <si>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</si>
  <si>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</si>
  <si>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</si>
  <si>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</si>
  <si>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</si>
  <si>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</si>
  <si>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</si>
  <si>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</si>
  <si>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</si>
  <si>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</si>
  <si>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</si>
  <si>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</si>
  <si>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</si>
  <si>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</si>
  <si>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</si>
  <si>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</si>
  <si>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</si>
  <si>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</si>
  <si>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</si>
  <si>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</si>
  <si>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</si>
  <si>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</si>
  <si>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</si>
  <si>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</si>
  <si>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</si>
  <si>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</si>
  <si>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</si>
  <si>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</si>
  <si>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</si>
  <si>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</si>
  <si>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</si>
  <si>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</si>
  <si>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</si>
  <si>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</si>
  <si>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</si>
  <si>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</si>
  <si>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</si>
  <si>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</si>
  <si>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</si>
  <si>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</si>
  <si>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</si>
  <si>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</si>
  <si>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</si>
  <si>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</si>
  <si>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</si>
  <si>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</si>
  <si>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</si>
  <si>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</si>
  <si>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</si>
  <si>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</si>
  <si>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</si>
  <si>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</si>
  <si>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</si>
  <si>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</si>
  <si>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</si>
  <si>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</si>
  <si>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</si>
  <si>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</si>
  <si>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</si>
  <si>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</si>
  <si>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</si>
  <si>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</si>
  <si>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</si>
  <si>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</si>
  <si>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</si>
  <si>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</si>
  <si>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</si>
  <si>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</si>
  <si>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</si>
  <si>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</si>
  <si>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</si>
  <si>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</si>
  <si>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</si>
  <si>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</si>
  <si>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</si>
  <si>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</si>
  <si>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</si>
  <si>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</si>
  <si>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</si>
  <si>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</si>
  <si>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</si>
  <si>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</si>
  <si>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</si>
  <si>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</si>
  <si>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</si>
  <si>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</si>
  <si>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</si>
  <si>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</si>
  <si>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</si>
  <si>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</si>
  <si>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</si>
  <si>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</si>
  <si>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</si>
  <si>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</si>
  <si>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</si>
  <si>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</si>
  <si>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</si>
  <si>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</si>
  <si>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</si>
  <si>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</si>
  <si>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</si>
  <si>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</si>
  <si>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</si>
  <si>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</si>
  <si>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</si>
  <si>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</si>
  <si>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</si>
  <si>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</si>
  <si>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</si>
  <si>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</si>
  <si>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</si>
  <si>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</si>
  <si>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</si>
  <si>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</si>
  <si>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</si>
  <si>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</si>
  <si>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</si>
  <si>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</si>
  <si>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</si>
  <si>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</si>
  <si>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</si>
  <si>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</si>
  <si>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</si>
  <si>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</si>
  <si>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</si>
  <si>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</si>
  <si>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</si>
  <si>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</si>
  <si>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</si>
  <si>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</si>
  <si>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</si>
  <si>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</si>
  <si>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</si>
  <si>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</si>
  <si>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</si>
  <si>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</si>
  <si>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</si>
  <si>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</si>
  <si>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</si>
  <si>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</si>
  <si>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</si>
  <si>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</si>
  <si>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</si>
  <si>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</si>
  <si>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</si>
  <si>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</si>
  <si>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</si>
  <si>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</si>
  <si>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</si>
  <si>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</si>
  <si>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</si>
  <si>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</si>
  <si>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</si>
  <si>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</si>
  <si>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</si>
  <si>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</si>
  <si>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</si>
  <si>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</si>
  <si>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</si>
  <si>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</si>
  <si>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</si>
  <si>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</si>
  <si>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</si>
  <si>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</si>
  <si>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</si>
  <si>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</si>
  <si>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</si>
  <si>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</si>
  <si>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</si>
  <si>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</si>
  <si>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</si>
  <si>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</si>
  <si>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</si>
  <si>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</si>
  <si>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</si>
  <si>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</si>
  <si>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</si>
  <si>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</si>
  <si>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</si>
  <si>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</si>
  <si>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</si>
  <si>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</si>
  <si>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</si>
  <si>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</si>
  <si>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</si>
  <si>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</si>
  <si>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</si>
  <si>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</si>
  <si>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</si>
  <si>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</si>
  <si>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</si>
  <si>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</si>
  <si>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</si>
  <si>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</si>
  <si>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</si>
  <si>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</si>
  <si>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</si>
  <si>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</si>
  <si>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</si>
  <si>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</si>
  <si>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</si>
  <si>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</si>
  <si>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</si>
  <si>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</si>
  <si>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</si>
  <si>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</si>
  <si>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</si>
  <si>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</si>
  <si>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</si>
  <si>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</si>
  <si>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</si>
  <si>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</si>
  <si>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</si>
  <si>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</si>
  <si>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</si>
  <si>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</si>
  <si>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</si>
  <si>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</si>
  <si>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</si>
  <si>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</si>
  <si>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</si>
  <si>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</si>
  <si>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</si>
  <si>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</si>
  <si>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</si>
  <si>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</si>
  <si>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</si>
  <si>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</si>
  <si>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</si>
  <si>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</si>
  <si>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</si>
  <si>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</si>
  <si>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</si>
  <si>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</si>
  <si>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</si>
  <si>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</si>
  <si>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</si>
  <si>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</si>
  <si>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</si>
  <si>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</si>
  <si>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</si>
  <si>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</si>
  <si>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</si>
  <si>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</si>
  <si>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</si>
  <si>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</si>
  <si>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</si>
  <si>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</si>
  <si>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</si>
  <si>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</si>
  <si>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</si>
  <si>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</si>
  <si>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</si>
  <si>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</si>
  <si>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</si>
  <si>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</si>
  <si>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</si>
  <si>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</si>
  <si>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</si>
  <si>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</si>
  <si>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</si>
  <si>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</si>
  <si>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</si>
  <si>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</si>
  <si>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</si>
  <si>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</si>
  <si>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</si>
  <si>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</si>
  <si>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</si>
  <si>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</si>
  <si>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</si>
  <si>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</si>
  <si>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</si>
  <si>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</si>
  <si>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</si>
  <si>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</si>
  <si>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</si>
  <si>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</si>
  <si>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</si>
  <si>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</si>
  <si>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</si>
  <si>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</si>
  <si>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</si>
  <si>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</si>
  <si>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</si>
  <si>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</si>
  <si>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</si>
  <si>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</si>
  <si>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</si>
  <si>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</si>
  <si>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</si>
  <si>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</si>
  <si>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</si>
  <si>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</si>
  <si>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</si>
  <si>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</si>
  <si>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</si>
  <si>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</si>
  <si>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</si>
  <si>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</si>
  <si>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</si>
  <si>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</si>
  <si>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</si>
  <si>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</si>
  <si>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</si>
  <si>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</si>
  <si>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</si>
  <si>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</si>
  <si>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</si>
  <si>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</si>
  <si>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</si>
  <si>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</si>
  <si>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</si>
  <si>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</si>
  <si>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</si>
  <si>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</si>
  <si>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</si>
  <si>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</si>
  <si>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</si>
  <si>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</si>
  <si>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</si>
  <si>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</si>
  <si>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</si>
  <si>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</si>
  <si>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</si>
  <si>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</si>
  <si>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</si>
  <si>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</si>
  <si>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</si>
  <si>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</si>
  <si>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</si>
  <si>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</si>
  <si>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</si>
  <si>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</si>
  <si>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</si>
  <si>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</si>
  <si>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</si>
  <si>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</si>
  <si>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</si>
  <si>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</si>
  <si>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</si>
  <si>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</si>
  <si>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</si>
  <si>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</si>
  <si>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</si>
  <si>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</si>
  <si>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</si>
  <si>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</si>
  <si>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</si>
  <si>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</si>
  <si>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</si>
  <si>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</si>
  <si>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</si>
  <si>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</si>
  <si>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</si>
  <si>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</si>
  <si>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</si>
  <si>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</si>
  <si>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</si>
  <si>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</si>
  <si>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</si>
  <si>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</si>
  <si>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</si>
  <si>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</si>
  <si>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</si>
  <si>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</si>
  <si>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</si>
  <si>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</si>
  <si>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</si>
  <si>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</si>
  <si>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</si>
  <si>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</si>
  <si>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</si>
  <si>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</si>
  <si>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</si>
  <si>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</si>
  <si>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</si>
  <si>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</si>
  <si>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</si>
  <si>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</si>
  <si>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</si>
  <si>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</si>
  <si>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</si>
  <si>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</si>
  <si>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</si>
  <si>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</si>
  <si>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</si>
  <si>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</si>
  <si>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</si>
  <si>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</si>
  <si>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</si>
  <si>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</si>
  <si>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</si>
  <si>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</si>
  <si>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</si>
  <si>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</si>
  <si>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</si>
  <si>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</si>
  <si>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</si>
  <si>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</si>
  <si>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</si>
  <si>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</si>
  <si>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</si>
  <si>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</si>
  <si>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</si>
  <si>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</si>
  <si>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</si>
  <si>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</si>
  <si>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</si>
  <si>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</si>
  <si>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</si>
  <si>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</si>
  <si>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</si>
  <si>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</si>
  <si>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</si>
  <si>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</si>
  <si>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</si>
  <si>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</si>
  <si>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</si>
  <si>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</si>
  <si>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</si>
  <si>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</si>
  <si>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</si>
  <si>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</si>
  <si>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</si>
  <si>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</si>
  <si>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</si>
  <si>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</si>
  <si>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</si>
  <si>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</si>
  <si>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</si>
  <si>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</si>
  <si>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</si>
  <si>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</si>
  <si>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</si>
  <si>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</si>
  <si>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</si>
  <si>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</si>
  <si>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</si>
  <si>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</si>
  <si>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</si>
  <si>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</si>
  <si>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</si>
  <si>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</si>
  <si>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</si>
  <si>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</si>
  <si>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</si>
  <si>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</si>
  <si>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</si>
  <si>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</si>
  <si>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</si>
  <si>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</si>
  <si>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</si>
  <si>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</si>
  <si>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</si>
  <si>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</si>
  <si>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</si>
  <si>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</si>
  <si>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</si>
  <si>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</si>
  <si>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</si>
  <si>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</si>
  <si>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</si>
  <si>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</si>
  <si>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</si>
  <si>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</si>
  <si>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</si>
  <si>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</si>
  <si>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</si>
  <si>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</si>
  <si>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</si>
  <si>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</si>
  <si>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</si>
  <si>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</si>
  <si>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</si>
  <si>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</si>
  <si>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</si>
  <si>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</si>
  <si>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</si>
  <si>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</si>
  <si>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</si>
  <si>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</si>
  <si>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</si>
  <si>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</si>
  <si>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</si>
  <si>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</si>
  <si>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</si>
  <si>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</si>
  <si>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</si>
  <si>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</si>
  <si>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</si>
  <si>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</si>
  <si>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</si>
  <si>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</si>
  <si>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</si>
  <si>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</si>
  <si>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</si>
  <si>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</si>
  <si>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</si>
  <si>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</si>
  <si>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</si>
  <si>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</si>
  <si>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</si>
  <si>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</si>
  <si>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</si>
  <si>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</si>
  <si>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</si>
  <si>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</si>
  <si>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</si>
  <si>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</si>
  <si>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</si>
  <si>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</si>
  <si>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</si>
  <si>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</si>
  <si>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</si>
  <si>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</si>
  <si>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</si>
  <si>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</si>
  <si>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</si>
  <si>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</si>
  <si>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</si>
  <si>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</si>
  <si>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</si>
  <si>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</si>
  <si>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</si>
  <si>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</si>
  <si>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</si>
  <si>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</si>
  <si>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</si>
  <si>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</si>
  <si>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</si>
  <si>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</si>
  <si>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</si>
  <si>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</si>
  <si>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</si>
  <si>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</si>
  <si>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</si>
  <si>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</si>
  <si>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</si>
  <si>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</si>
  <si>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</si>
  <si>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</si>
  <si>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</si>
  <si>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</si>
  <si>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</si>
  <si>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</si>
  <si>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</si>
  <si>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</si>
  <si>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</si>
  <si>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</si>
  <si>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</si>
  <si>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</si>
  <si>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</si>
  <si>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</si>
  <si>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</si>
  <si>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</si>
  <si>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</si>
  <si>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08/15/95</t>
  </si>
  <si>
    <t>08/15/15</t>
  </si>
  <si>
    <t>Claremont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</si>
</sst>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\\sauserver2\users\DOE-25\FY2011-2012\Final\TOT08.xlsx" TargetMode="External"/><Relationship Id="rId13" Type="http://schemas.openxmlformats.org/officeDocument/2006/relationships/externalLinkPath" Target="file:///\\sauserver2\users\DOE-25\FY2011-2012\Final\TOT13.xlsx" TargetMode="External"/><Relationship Id="rId18" Type="http://schemas.openxmlformats.org/officeDocument/2006/relationships/externalLinkPath" Target="file:///\\sauserver2\users\DOE-25\FY2011-2012\Final\TOT18.xlsx" TargetMode="External"/><Relationship Id="rId3" Type="http://schemas.openxmlformats.org/officeDocument/2006/relationships/externalLinkPath" Target="file:///\\sauserver2\users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\\sauserver2\users\DOE-25\FY2011-2012\Final\TOT07.xlsx" TargetMode="External"/><Relationship Id="rId12" Type="http://schemas.openxmlformats.org/officeDocument/2006/relationships/externalLinkPath" Target="file:///\\sauserver2\users\DOE-25\FY2011-2012\Final\TOT12.xlsx" TargetMode="External"/><Relationship Id="rId17" Type="http://schemas.openxmlformats.org/officeDocument/2006/relationships/externalLinkPath" Target="file:///\\sauserver2\users\DOE-25\FY2011-2012\Final\TOT17.xlsx" TargetMode="External"/><Relationship Id="rId2" Type="http://schemas.openxmlformats.org/officeDocument/2006/relationships/externalLinkPath" Target="file:///\\sauserver2\users\DOE-25\FY2011-2012\Final\TOT02.xlsx" TargetMode="External"/><Relationship Id="rId16" Type="http://schemas.openxmlformats.org/officeDocument/2006/relationships/externalLinkPath" Target="file:///\\sauserver2\users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\\sauserver2\users\DOE-25\FY2011-2012\Final\TOT01.xlsx" TargetMode="External"/><Relationship Id="rId6" Type="http://schemas.openxmlformats.org/officeDocument/2006/relationships/externalLinkPath" Target="file:///\\sauserver2\users\DOE-25\FY2011-2012\Final\TOT06.xlsx" TargetMode="External"/><Relationship Id="rId11" Type="http://schemas.openxmlformats.org/officeDocument/2006/relationships/externalLinkPath" Target="file:///\\sauserver2\users\DOE-25\FY2011-2012\Final\TOT11.xlsx" TargetMode="External"/><Relationship Id="rId5" Type="http://schemas.openxmlformats.org/officeDocument/2006/relationships/externalLinkPath" Target="file:///\\sauserver2\users\DOE-25\FY2011-2012\Final\TOT05.xlsx" TargetMode="External"/><Relationship Id="rId15" Type="http://schemas.openxmlformats.org/officeDocument/2006/relationships/externalLinkPath" Target="file:///\\sauserver2\users\DOE-25\FY2011-2012\Final\TOT15.xlsx" TargetMode="External"/><Relationship Id="rId10" Type="http://schemas.openxmlformats.org/officeDocument/2006/relationships/externalLinkPath" Target="file:///\\sauserver2\users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\\sauserver2\users\DOE-25\FY2011-2012\Final\TOT04.xlsx" TargetMode="External"/><Relationship Id="rId9" Type="http://schemas.openxmlformats.org/officeDocument/2006/relationships/externalLinkPath" Target="file:///\\sauserver2\users\DOE-25\FY2011-2012\Final\TOT09.xlsx" TargetMode="External"/><Relationship Id="rId14" Type="http://schemas.openxmlformats.org/officeDocument/2006/relationships/externalLinkPath" Target="file:///\\sauserver2\users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101</v>
      </c>
      <c r="C2" s="21">
        <v>101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-1169210+200+99318+1350603+4617+248068+1498+54715</f>
        <v>589809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604852</f>
        <v>604852</v>
      </c>
      <c r="G12" s="18">
        <v>6016</v>
      </c>
      <c r="H12" s="18">
        <v>33063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78962</v>
      </c>
      <c r="G13" s="18">
        <f>10147+106410</f>
        <v>116557</v>
      </c>
      <c r="H13" s="18">
        <f>570757+34464+9011+41000</f>
        <v>655232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39592</v>
      </c>
      <c r="G14" s="18"/>
      <c r="H14" s="18">
        <f>-2508</f>
        <v>-2508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f>48447</f>
        <v>48447</v>
      </c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f>382758-60000</f>
        <v>322758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1684420</v>
      </c>
      <c r="G19" s="41">
        <f>SUM(G9:G18)</f>
        <v>122573</v>
      </c>
      <c r="H19" s="41">
        <f>SUM(H9:H18)</f>
        <v>685787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-135119-41000</f>
        <v>-176119</v>
      </c>
      <c r="G22" s="18">
        <v>-30570</v>
      </c>
      <c r="H22" s="18">
        <f>809896</f>
        <v>809896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>
        <v>2416</v>
      </c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96456-58232+58232+203548-49309+7866+39592</f>
        <v>298153</v>
      </c>
      <c r="G24" s="18">
        <v>15015</v>
      </c>
      <c r="H24" s="18">
        <f>-20462-9011-32</f>
        <v>-29505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1869-109-109</f>
        <v>1651</v>
      </c>
      <c r="G29" s="18"/>
      <c r="H29" s="18">
        <f>28+27+28-118+46</f>
        <v>11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501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f>686</f>
        <v>686</v>
      </c>
      <c r="G31" s="18"/>
      <c r="H31" s="18">
        <v>197429</v>
      </c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124371</v>
      </c>
      <c r="G32" s="41">
        <f>SUM(G22:G31)</f>
        <v>-13139</v>
      </c>
      <c r="H32" s="41">
        <f>SUM(H22:H31)</f>
        <v>978332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48447</v>
      </c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f>382758-60000</f>
        <v>322758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f>-667+8741+515428</f>
        <v>523502</v>
      </c>
      <c r="G47" s="18">
        <f>G19-G32</f>
        <v>135712</v>
      </c>
      <c r="H47" s="18">
        <f>H19-H32</f>
        <v>-292545</v>
      </c>
      <c r="I47" s="18"/>
      <c r="J47" s="13">
        <f>SUM(I458)</f>
        <v>0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f>130611</f>
        <v>130611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171954+362777</f>
        <v>534731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1560049</v>
      </c>
      <c r="G50" s="41">
        <f>SUM(G35:G49)</f>
        <v>135712</v>
      </c>
      <c r="H50" s="41">
        <f>SUM(H35:H49)</f>
        <v>-292545</v>
      </c>
      <c r="I50" s="41">
        <f>SUM(I35:I49)</f>
        <v>0</v>
      </c>
      <c r="J50" s="41">
        <f>SUM(J35:J49)</f>
        <v>0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1684420</v>
      </c>
      <c r="G51" s="41">
        <f>G50+G32</f>
        <v>122573</v>
      </c>
      <c r="H51" s="41">
        <f>H50+H32</f>
        <v>685787</v>
      </c>
      <c r="I51" s="41">
        <f>I50+I32</f>
        <v>0</v>
      </c>
      <c r="J51" s="41">
        <f>J50+J32</f>
        <v>0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14511075-F117</f>
        <v>12703937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12703937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2500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>
        <v>13207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729644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23724</v>
      </c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f>127089+7262-1498</f>
        <v>132853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888721</v>
      </c>
      <c r="G78" s="45" t="s">
        <v>289</v>
      </c>
      <c r="H78" s="41">
        <f>SUM(H62:H77)</f>
        <v>13207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1598</v>
      </c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7324</v>
      </c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8922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f>6035+66276</f>
        <v>72311</v>
      </c>
      <c r="G95" s="18"/>
      <c r="H95" s="18"/>
      <c r="I95" s="18"/>
      <c r="J95" s="18"/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174711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f>3478+24500+15092</f>
        <v>43070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3037</v>
      </c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9+77058+22788</f>
        <v>99855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218273</v>
      </c>
      <c r="G110" s="41">
        <f>SUM(G95:G109)</f>
        <v>174711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13819853</v>
      </c>
      <c r="G111" s="41">
        <f>G59+G110</f>
        <v>174711</v>
      </c>
      <c r="H111" s="41">
        <f>H59+H78+H93+H110</f>
        <v>13207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12493163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1807138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14300301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99000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366172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8926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7415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f>10148</f>
        <v>10148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>
        <v>40450</v>
      </c>
      <c r="H134" s="18">
        <f>500</f>
        <v>500</v>
      </c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481513</v>
      </c>
      <c r="G135" s="41">
        <f>SUM(G122:G134)</f>
        <v>50598</v>
      </c>
      <c r="H135" s="41">
        <f>SUM(H122:H134)</f>
        <v>500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14781814</v>
      </c>
      <c r="G139" s="41">
        <f>G120+SUM(G135:G136)</f>
        <v>50598</v>
      </c>
      <c r="H139" s="41">
        <f>H120+SUM(H135:H138)</f>
        <v>500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>
        <v>3645</v>
      </c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3645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531901+298453+7087</f>
        <v>837441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34199+9506+8541+6480+1985+17427+3021+541+9762+2072+1500+50590+35729</f>
        <v>181353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f>25373+50170</f>
        <v>75543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f>22716+11141+49943+29526</f>
        <v>113326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295713+106410</f>
        <v>402123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165562+469133</f>
        <v>634695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f>307243+36+3584+5093+78962</f>
        <v>394918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f>2756+1776+3336+7087+9099+14236+17032+5000+3000+15206+1036+112711+70640+500</f>
        <v>263415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394918</v>
      </c>
      <c r="G161" s="41">
        <f>SUM(G149:G160)</f>
        <v>402123</v>
      </c>
      <c r="H161" s="41">
        <f>SUM(H149:H160)</f>
        <v>2105773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394918</v>
      </c>
      <c r="G168" s="41">
        <f>G146+G161+SUM(G162:G167)</f>
        <v>405768</v>
      </c>
      <c r="H168" s="41">
        <f>H146+H161+SUM(H162:H167)</f>
        <v>2105773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>
        <v>41000</v>
      </c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41000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41000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28996585</v>
      </c>
      <c r="G192" s="47">
        <f>G111+G139+G168+G191</f>
        <v>631077</v>
      </c>
      <c r="H192" s="47">
        <f>H111+H139+H168+H191</f>
        <v>2160480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627175+901746+783686+90944+227598</f>
        <v>2631149</v>
      </c>
      <c r="G196" s="18">
        <f>319203+553015+531154+264554+18932</f>
        <v>1686858</v>
      </c>
      <c r="H196" s="18">
        <f>528+42+48546-206</f>
        <v>48910</v>
      </c>
      <c r="I196" s="18">
        <f>34031+28156+22917+24660</f>
        <v>109764</v>
      </c>
      <c r="J196" s="18">
        <f>24043+19735+51719</f>
        <v>95497</v>
      </c>
      <c r="K196" s="18">
        <f>250</f>
        <v>250</v>
      </c>
      <c r="L196" s="19">
        <f>SUM(F196:K196)</f>
        <v>4572428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279026+671572+559895+157060</f>
        <v>1667553</v>
      </c>
      <c r="G197" s="18">
        <f>47127+309709+206763+86696</f>
        <v>650295</v>
      </c>
      <c r="H197" s="18">
        <f>684966+4335+156212</f>
        <v>845513</v>
      </c>
      <c r="I197" s="18">
        <f>2015+5424+3381+828</f>
        <v>11648</v>
      </c>
      <c r="J197" s="18">
        <f>1703</f>
        <v>1703</v>
      </c>
      <c r="K197" s="18"/>
      <c r="L197" s="19">
        <f>SUM(F197:K197)</f>
        <v>3176712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109891+161643+72239+136000</f>
        <v>479773</v>
      </c>
      <c r="G201" s="18">
        <f>30376+75451+34620+81510</f>
        <v>221957</v>
      </c>
      <c r="H201" s="18">
        <f>2688+2631</f>
        <v>5319</v>
      </c>
      <c r="I201" s="18">
        <f>1898+1647+579</f>
        <v>4124</v>
      </c>
      <c r="J201" s="18"/>
      <c r="K201" s="18"/>
      <c r="L201" s="19">
        <f t="shared" ref="L201:L207" si="0">SUM(F201:K201)</f>
        <v>711173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43104+25466+25438+46819</f>
        <v>140827</v>
      </c>
      <c r="G202" s="18">
        <f>27593+4759+9710+17026</f>
        <v>59088</v>
      </c>
      <c r="H202" s="18">
        <f>478+39342+21076</f>
        <v>60896</v>
      </c>
      <c r="I202" s="18">
        <f>6850+5257+3285+10952</f>
        <v>26344</v>
      </c>
      <c r="J202" s="18">
        <f>1709+11896+955</f>
        <v>14560</v>
      </c>
      <c r="K202" s="18">
        <f>165</f>
        <v>165</v>
      </c>
      <c r="L202" s="19">
        <f t="shared" si="0"/>
        <v>301880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>
        <f>586080</f>
        <v>586080</v>
      </c>
      <c r="I203" s="18"/>
      <c r="J203" s="18"/>
      <c r="K203" s="18"/>
      <c r="L203" s="19">
        <f t="shared" si="0"/>
        <v>586080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135635+134924+117140+37754</f>
        <v>425453</v>
      </c>
      <c r="G204" s="18">
        <f>52016+70003+74635+33732</f>
        <v>230386</v>
      </c>
      <c r="H204" s="18">
        <f>1866+3315+2912+287</f>
        <v>8380</v>
      </c>
      <c r="I204" s="18">
        <f>2272+437+692</f>
        <v>3401</v>
      </c>
      <c r="J204" s="18">
        <f>2404+950+239</f>
        <v>3593</v>
      </c>
      <c r="K204" s="18">
        <f>361</f>
        <v>361</v>
      </c>
      <c r="L204" s="19">
        <f t="shared" si="0"/>
        <v>671574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52349+77765+67738+64676</f>
        <v>262528</v>
      </c>
      <c r="G206" s="18">
        <f>21825+35990+33045+20695</f>
        <v>111555</v>
      </c>
      <c r="H206" s="18">
        <f>8485+8087+7748+12733+18722+20273+5960+10863+6117+8404+12595+54669</f>
        <v>174656</v>
      </c>
      <c r="I206" s="18">
        <f>53959+45260+66492+6642</f>
        <v>172353</v>
      </c>
      <c r="J206" s="18">
        <f>1140+2071</f>
        <v>3211</v>
      </c>
      <c r="K206" s="18"/>
      <c r="L206" s="19">
        <f t="shared" si="0"/>
        <v>724303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192819</f>
        <v>192819</v>
      </c>
      <c r="G207" s="18">
        <f>83240</f>
        <v>83240</v>
      </c>
      <c r="H207" s="18">
        <f>509+1051+579+12261+51691+354+8360</f>
        <v>74805</v>
      </c>
      <c r="I207" s="18">
        <f>50988</f>
        <v>50988</v>
      </c>
      <c r="J207" s="18">
        <f>8360</f>
        <v>8360</v>
      </c>
      <c r="K207" s="18"/>
      <c r="L207" s="19">
        <f t="shared" si="0"/>
        <v>410212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>
        <f>280</f>
        <v>280</v>
      </c>
      <c r="K208" s="18"/>
      <c r="L208" s="19">
        <f>SUM(F208:K208)</f>
        <v>280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5800102</v>
      </c>
      <c r="G210" s="41">
        <f t="shared" si="1"/>
        <v>3043379</v>
      </c>
      <c r="H210" s="41">
        <f t="shared" si="1"/>
        <v>1804559</v>
      </c>
      <c r="I210" s="41">
        <f t="shared" si="1"/>
        <v>378622</v>
      </c>
      <c r="J210" s="41">
        <f t="shared" si="1"/>
        <v>127204</v>
      </c>
      <c r="K210" s="41">
        <f t="shared" si="1"/>
        <v>776</v>
      </c>
      <c r="L210" s="41">
        <f t="shared" si="1"/>
        <v>11154642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1275553+40098</f>
        <v>1315651</v>
      </c>
      <c r="G214" s="18">
        <f>704268+116644</f>
        <v>820912</v>
      </c>
      <c r="H214" s="18">
        <f>1091+500+21404-91</f>
        <v>22904</v>
      </c>
      <c r="I214" s="18">
        <f>52445+10873</f>
        <v>63318</v>
      </c>
      <c r="J214" s="18">
        <f>46695</f>
        <v>46695</v>
      </c>
      <c r="K214" s="18">
        <f>842</f>
        <v>842</v>
      </c>
      <c r="L214" s="19">
        <f>SUM(F214:K214)</f>
        <v>2270322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533225+69249</f>
        <v>602474</v>
      </c>
      <c r="G215" s="18">
        <f>219099+38225</f>
        <v>257324</v>
      </c>
      <c r="H215" s="18">
        <f>647001+68875+1911</f>
        <v>717787</v>
      </c>
      <c r="I215" s="18">
        <f>2061+365</f>
        <v>2426</v>
      </c>
      <c r="J215" s="18"/>
      <c r="K215" s="18"/>
      <c r="L215" s="19">
        <f>SUM(F215:K215)</f>
        <v>1580011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f>51231+48899+56735</f>
        <v>156865</v>
      </c>
      <c r="G216" s="18">
        <f>112209</f>
        <v>112209</v>
      </c>
      <c r="H216" s="18">
        <f>295</f>
        <v>295</v>
      </c>
      <c r="I216" s="18">
        <f>860+4051+2660</f>
        <v>7571</v>
      </c>
      <c r="J216" s="18">
        <f>4</f>
        <v>4</v>
      </c>
      <c r="K216" s="18"/>
      <c r="L216" s="19">
        <f>SUM(F216:K216)</f>
        <v>276944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1435+48267</f>
        <v>49702</v>
      </c>
      <c r="G217" s="18">
        <f>455+697+2982+3099</f>
        <v>7233</v>
      </c>
      <c r="H217" s="18">
        <f>3187+615</f>
        <v>3802</v>
      </c>
      <c r="I217" s="18">
        <f>5027</f>
        <v>5027</v>
      </c>
      <c r="J217" s="18">
        <f>5753</f>
        <v>5753</v>
      </c>
      <c r="K217" s="18"/>
      <c r="L217" s="19">
        <f>SUM(F217:K217)</f>
        <v>71517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151557+59964</f>
        <v>211521</v>
      </c>
      <c r="G219" s="18">
        <f>78994+35939</f>
        <v>114933</v>
      </c>
      <c r="H219" s="18">
        <f>1185+1160</f>
        <v>2345</v>
      </c>
      <c r="I219" s="18">
        <f>564+1590</f>
        <v>2154</v>
      </c>
      <c r="J219" s="18">
        <f>8</f>
        <v>8</v>
      </c>
      <c r="K219" s="18"/>
      <c r="L219" s="19">
        <f t="shared" ref="L219:L225" si="2">SUM(F219:K219)</f>
        <v>330961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49619+20643</f>
        <v>70262</v>
      </c>
      <c r="G220" s="18">
        <f>28444+7507</f>
        <v>35951</v>
      </c>
      <c r="H220" s="18">
        <f>211+17346+9293</f>
        <v>26850</v>
      </c>
      <c r="I220" s="18">
        <f>6927+4829</f>
        <v>11756</v>
      </c>
      <c r="J220" s="18">
        <f>15249+545</f>
        <v>15794</v>
      </c>
      <c r="K220" s="18"/>
      <c r="L220" s="19">
        <f t="shared" si="2"/>
        <v>160613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2142</f>
        <v>2142</v>
      </c>
      <c r="G221" s="18">
        <f>199</f>
        <v>199</v>
      </c>
      <c r="H221" s="18">
        <f>258408+6693</f>
        <v>265101</v>
      </c>
      <c r="I221" s="18">
        <f>1527</f>
        <v>1527</v>
      </c>
      <c r="J221" s="18"/>
      <c r="K221" s="18"/>
      <c r="L221" s="19">
        <f t="shared" si="2"/>
        <v>268969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199890+16646</f>
        <v>216536</v>
      </c>
      <c r="G222" s="18">
        <f>88813+14873</f>
        <v>103686</v>
      </c>
      <c r="H222" s="18">
        <f>4897+126</f>
        <v>5023</v>
      </c>
      <c r="I222" s="18">
        <f>1663</f>
        <v>1663</v>
      </c>
      <c r="J222" s="18">
        <f>105</f>
        <v>105</v>
      </c>
      <c r="K222" s="18">
        <f>89+229</f>
        <v>318</v>
      </c>
      <c r="L222" s="19">
        <f t="shared" si="2"/>
        <v>327331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118278+37472</f>
        <v>155750</v>
      </c>
      <c r="G224" s="18">
        <f>60675+11990</f>
        <v>72665</v>
      </c>
      <c r="H224" s="18">
        <f>10516+107597+11074+4869+7297+31674-6000</f>
        <v>167027</v>
      </c>
      <c r="I224" s="18">
        <f>143675+3849</f>
        <v>147524</v>
      </c>
      <c r="J224" s="18">
        <f>1200</f>
        <v>1200</v>
      </c>
      <c r="K224" s="18"/>
      <c r="L224" s="19">
        <f t="shared" si="2"/>
        <v>544166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f>85016</f>
        <v>85016</v>
      </c>
      <c r="G225" s="18">
        <f>510+36701</f>
        <v>37211</v>
      </c>
      <c r="H225" s="18">
        <f>10354+5406+22791+156+3686</f>
        <v>42393</v>
      </c>
      <c r="I225" s="18">
        <f>22481</f>
        <v>22481</v>
      </c>
      <c r="J225" s="18">
        <f>3686</f>
        <v>3686</v>
      </c>
      <c r="K225" s="18"/>
      <c r="L225" s="19">
        <f t="shared" si="2"/>
        <v>190787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2865919</v>
      </c>
      <c r="G228" s="41">
        <f>SUM(G214:G227)</f>
        <v>1562323</v>
      </c>
      <c r="H228" s="41">
        <f>SUM(H214:H227)</f>
        <v>1253527</v>
      </c>
      <c r="I228" s="41">
        <f>SUM(I214:I227)</f>
        <v>265447</v>
      </c>
      <c r="J228" s="41">
        <f>SUM(J214:J227)</f>
        <v>73245</v>
      </c>
      <c r="K228" s="41">
        <f t="shared" si="3"/>
        <v>1160</v>
      </c>
      <c r="L228" s="41">
        <f t="shared" si="3"/>
        <v>6021621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1907765+59321</f>
        <v>1967086</v>
      </c>
      <c r="G232" s="18">
        <f>1105893+172561</f>
        <v>1278454</v>
      </c>
      <c r="H232" s="18">
        <f>53909+2851+31665-134</f>
        <v>88291</v>
      </c>
      <c r="I232" s="18">
        <f>72240+16085</f>
        <v>88325</v>
      </c>
      <c r="J232" s="18">
        <f>33479+3798+1576+2264+5976+1551+2863+2487</f>
        <v>53994</v>
      </c>
      <c r="K232" s="18">
        <f>10960+870</f>
        <v>11830</v>
      </c>
      <c r="L232" s="19">
        <f>SUM(F232:K232)</f>
        <v>3487980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533170+700+102446</f>
        <v>636316</v>
      </c>
      <c r="G233" s="18">
        <f>255250+126+56550</f>
        <v>311926</v>
      </c>
      <c r="H233" s="18">
        <f>496+1127639+101893+2827</f>
        <v>1232855</v>
      </c>
      <c r="I233" s="18">
        <f>4512+1008+540</f>
        <v>6060</v>
      </c>
      <c r="J233" s="18"/>
      <c r="K233" s="18"/>
      <c r="L233" s="19">
        <f>SUM(F233:K233)</f>
        <v>2187157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f>159740+561986</f>
        <v>721726</v>
      </c>
      <c r="G234" s="18">
        <f>76787+328074</f>
        <v>404861</v>
      </c>
      <c r="H234" s="18">
        <f>2246+9665</f>
        <v>11911</v>
      </c>
      <c r="I234" s="18">
        <f>2650+50198</f>
        <v>52848</v>
      </c>
      <c r="J234" s="18">
        <f>49007</f>
        <v>49007</v>
      </c>
      <c r="K234" s="18"/>
      <c r="L234" s="19">
        <f>SUM(F234:K234)</f>
        <v>1240353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5818+168209+1800</f>
        <v>175827</v>
      </c>
      <c r="G235" s="18">
        <f>45708</f>
        <v>45708</v>
      </c>
      <c r="H235" s="18">
        <f>64380+5758</f>
        <v>70138</v>
      </c>
      <c r="I235" s="18">
        <f>3157+8643</f>
        <v>11800</v>
      </c>
      <c r="J235" s="18">
        <f>10456</f>
        <v>10456</v>
      </c>
      <c r="K235" s="18">
        <f>7107</f>
        <v>7107</v>
      </c>
      <c r="L235" s="19">
        <f>SUM(F235:K235)</f>
        <v>321036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242214+56626+88709</f>
        <v>387549</v>
      </c>
      <c r="G237" s="18">
        <f>96503+22027+53167</f>
        <v>171697</v>
      </c>
      <c r="H237" s="18">
        <f>446+1716</f>
        <v>2162</v>
      </c>
      <c r="I237" s="18">
        <f>1074+2346</f>
        <v>3420</v>
      </c>
      <c r="J237" s="18">
        <f>2176</f>
        <v>2176</v>
      </c>
      <c r="K237" s="18">
        <f>2710+249</f>
        <v>2959</v>
      </c>
      <c r="L237" s="19">
        <f t="shared" ref="L237:L243" si="4">SUM(F237:K237)</f>
        <v>569963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43961+30539</f>
        <v>74500</v>
      </c>
      <c r="G238" s="18">
        <f>8688+11106</f>
        <v>19794</v>
      </c>
      <c r="H238" s="18">
        <f>450+312+25661+13747</f>
        <v>40170</v>
      </c>
      <c r="I238" s="18">
        <f>11761+7144</f>
        <v>18905</v>
      </c>
      <c r="J238" s="18">
        <f>7604+623</f>
        <v>8227</v>
      </c>
      <c r="K238" s="18"/>
      <c r="L238" s="19">
        <f t="shared" si="4"/>
        <v>161596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3169</f>
        <v>3169</v>
      </c>
      <c r="G239" s="18">
        <f>295</f>
        <v>295</v>
      </c>
      <c r="H239" s="18">
        <f>382284+9901+60000</f>
        <v>452185</v>
      </c>
      <c r="I239" s="18">
        <f>2260</f>
        <v>2260</v>
      </c>
      <c r="J239" s="18"/>
      <c r="K239" s="18"/>
      <c r="L239" s="19">
        <f t="shared" si="4"/>
        <v>457909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326492+109654+24626</f>
        <v>460772</v>
      </c>
      <c r="G240" s="18">
        <f>138996+60408+22003</f>
        <v>221407</v>
      </c>
      <c r="H240" s="18">
        <f>883+11709+2630+187</f>
        <v>15409</v>
      </c>
      <c r="I240" s="18">
        <f>4718+1979</f>
        <v>6697</v>
      </c>
      <c r="J240" s="18">
        <f>156</f>
        <v>156</v>
      </c>
      <c r="K240" s="18">
        <f>3330</f>
        <v>3330</v>
      </c>
      <c r="L240" s="19">
        <f t="shared" si="4"/>
        <v>707771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178972+54270+105489</f>
        <v>338731</v>
      </c>
      <c r="G242" s="18">
        <f>60174+33754+22274</f>
        <v>116202</v>
      </c>
      <c r="H242" s="18">
        <f>31003+13776+13707+256727+45177+20543+4154+13768+89166-7365</f>
        <v>480656</v>
      </c>
      <c r="I242" s="18">
        <f>172796+99911+10834</f>
        <v>283541</v>
      </c>
      <c r="J242" s="18">
        <f>3378</f>
        <v>3378</v>
      </c>
      <c r="K242" s="18"/>
      <c r="L242" s="19">
        <f t="shared" si="4"/>
        <v>1222508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125771</f>
        <v>125771</v>
      </c>
      <c r="G243" s="18">
        <f>1808+54295</f>
        <v>56103</v>
      </c>
      <c r="H243" s="18">
        <f>33004+7998+33717+231+5453</f>
        <v>80403</v>
      </c>
      <c r="I243" s="18">
        <f>33258</f>
        <v>33258</v>
      </c>
      <c r="J243" s="18">
        <f>5453</f>
        <v>5453</v>
      </c>
      <c r="K243" s="18"/>
      <c r="L243" s="19">
        <f t="shared" si="4"/>
        <v>300988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4891447</v>
      </c>
      <c r="G246" s="41">
        <f t="shared" si="5"/>
        <v>2626447</v>
      </c>
      <c r="H246" s="41">
        <f t="shared" si="5"/>
        <v>2474180</v>
      </c>
      <c r="I246" s="41">
        <f t="shared" si="5"/>
        <v>507114</v>
      </c>
      <c r="J246" s="41">
        <f t="shared" si="5"/>
        <v>132847</v>
      </c>
      <c r="K246" s="41">
        <f t="shared" si="5"/>
        <v>25226</v>
      </c>
      <c r="L246" s="41">
        <f t="shared" si="5"/>
        <v>10657261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13557468</v>
      </c>
      <c r="G256" s="41">
        <f t="shared" si="8"/>
        <v>7232149</v>
      </c>
      <c r="H256" s="41">
        <f t="shared" si="8"/>
        <v>5532266</v>
      </c>
      <c r="I256" s="41">
        <f t="shared" si="8"/>
        <v>1151183</v>
      </c>
      <c r="J256" s="41">
        <f t="shared" si="8"/>
        <v>333296</v>
      </c>
      <c r="K256" s="41">
        <f t="shared" si="8"/>
        <v>27162</v>
      </c>
      <c r="L256" s="41">
        <f t="shared" si="8"/>
        <v>27833524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330000</v>
      </c>
      <c r="L259" s="19">
        <f>SUM(F259:K259)</f>
        <v>330000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64350</v>
      </c>
      <c r="L260" s="19">
        <f>SUM(F260:K260)</f>
        <v>64350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41000</v>
      </c>
      <c r="L263" s="19">
        <f t="shared" ref="L263:L269" si="9">SUM(F263:K263)</f>
        <v>41000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435350</v>
      </c>
      <c r="L269" s="41">
        <f t="shared" si="9"/>
        <v>435350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13557468</v>
      </c>
      <c r="G270" s="42">
        <f t="shared" si="11"/>
        <v>7232149</v>
      </c>
      <c r="H270" s="42">
        <f t="shared" si="11"/>
        <v>5532266</v>
      </c>
      <c r="I270" s="42">
        <f t="shared" si="11"/>
        <v>1151183</v>
      </c>
      <c r="J270" s="42">
        <f t="shared" si="11"/>
        <v>333296</v>
      </c>
      <c r="K270" s="42">
        <f t="shared" si="11"/>
        <v>462512</v>
      </c>
      <c r="L270" s="42">
        <f t="shared" si="11"/>
        <v>28268874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>
        <f>804</f>
        <v>804</v>
      </c>
      <c r="I275" s="18"/>
      <c r="J275" s="18"/>
      <c r="K275" s="18"/>
      <c r="L275" s="19">
        <f>SUM(F275:K275)</f>
        <v>804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12910+1154+353991+50738+129553</f>
        <v>548346</v>
      </c>
      <c r="G276" s="18">
        <f>100570+4947+16+4957+177+21215+22+32446+5127+105748</f>
        <v>275225</v>
      </c>
      <c r="H276" s="18">
        <f>3000+374+22117+24970</f>
        <v>50461</v>
      </c>
      <c r="I276" s="18">
        <f>348+313+3914+10110+22382+8124</f>
        <v>45191</v>
      </c>
      <c r="J276" s="18">
        <f>2459</f>
        <v>2459</v>
      </c>
      <c r="K276" s="18"/>
      <c r="L276" s="19">
        <f>SUM(F276:K276)</f>
        <v>921682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f>79+42916+900</f>
        <v>43895</v>
      </c>
      <c r="G278" s="18">
        <f>56+7986+21+289+206+23+575+98+2509+4810+17+100+75</f>
        <v>16765</v>
      </c>
      <c r="H278" s="18">
        <f>522+118+145+247+1303+720+281+1941+1575</f>
        <v>6852</v>
      </c>
      <c r="I278" s="18">
        <f>340+2176+3000</f>
        <v>5516</v>
      </c>
      <c r="J278" s="18"/>
      <c r="K278" s="18"/>
      <c r="L278" s="19">
        <f>SUM(F278:K278)</f>
        <v>73028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10468+72009+43200</f>
        <v>125677</v>
      </c>
      <c r="G280" s="18">
        <f>2505+19207+74+652+354+135+918+579+3926+953+7308+10207</f>
        <v>46818</v>
      </c>
      <c r="H280" s="18">
        <f>169+2100+350+4470+368+3888+400+47011+5162</f>
        <v>63918</v>
      </c>
      <c r="I280" s="18">
        <f>750+2835+1764+1697</f>
        <v>7046</v>
      </c>
      <c r="J280" s="18">
        <f>500+1321</f>
        <v>1821</v>
      </c>
      <c r="K280" s="18"/>
      <c r="L280" s="19">
        <f t="shared" ref="L280:L286" si="12">SUM(F280:K280)</f>
        <v>245280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300+800+600</f>
        <v>1700</v>
      </c>
      <c r="G281" s="18">
        <f>4+18+34+11+9+49+37+90+68</f>
        <v>320</v>
      </c>
      <c r="H281" s="18">
        <f>700+137+485</f>
        <v>1322</v>
      </c>
      <c r="I281" s="18"/>
      <c r="J281" s="18">
        <f>4544</f>
        <v>4544</v>
      </c>
      <c r="K281" s="18"/>
      <c r="L281" s="19">
        <f t="shared" si="12"/>
        <v>7886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f>509+1167+19993+8236</f>
        <v>29905</v>
      </c>
      <c r="L282" s="19">
        <f t="shared" si="12"/>
        <v>29905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f>635</f>
        <v>635</v>
      </c>
      <c r="G283" s="18"/>
      <c r="H283" s="18">
        <f>346</f>
        <v>346</v>
      </c>
      <c r="I283" s="18"/>
      <c r="J283" s="18"/>
      <c r="K283" s="18"/>
      <c r="L283" s="19">
        <f t="shared" si="12"/>
        <v>981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f>79+7+178+6606</f>
        <v>6870</v>
      </c>
      <c r="L284" s="19">
        <f t="shared" si="12"/>
        <v>6870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f>2143</f>
        <v>2143</v>
      </c>
      <c r="I286" s="18"/>
      <c r="J286" s="18"/>
      <c r="K286" s="18"/>
      <c r="L286" s="19">
        <f t="shared" si="12"/>
        <v>2143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720253</v>
      </c>
      <c r="G289" s="42">
        <f t="shared" si="13"/>
        <v>339128</v>
      </c>
      <c r="H289" s="42">
        <f t="shared" si="13"/>
        <v>125846</v>
      </c>
      <c r="I289" s="42">
        <f t="shared" si="13"/>
        <v>57753</v>
      </c>
      <c r="J289" s="42">
        <f t="shared" si="13"/>
        <v>8824</v>
      </c>
      <c r="K289" s="42">
        <f t="shared" si="13"/>
        <v>36775</v>
      </c>
      <c r="L289" s="41">
        <f t="shared" si="13"/>
        <v>1288579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22371</f>
        <v>22371</v>
      </c>
      <c r="G294" s="18">
        <f>2261</f>
        <v>2261</v>
      </c>
      <c r="H294" s="18">
        <f>7153+3950+3154+1742+1996</f>
        <v>17995</v>
      </c>
      <c r="I294" s="18">
        <f>4527</f>
        <v>4527</v>
      </c>
      <c r="J294" s="18"/>
      <c r="K294" s="18"/>
      <c r="L294" s="19">
        <f>SUM(F294:K294)</f>
        <v>47154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57121</f>
        <v>57121</v>
      </c>
      <c r="G295" s="18">
        <f>46625</f>
        <v>46625</v>
      </c>
      <c r="H295" s="18">
        <f>11009</f>
        <v>11009</v>
      </c>
      <c r="I295" s="18">
        <f>3582</f>
        <v>3582</v>
      </c>
      <c r="J295" s="18">
        <f>1084</f>
        <v>1084</v>
      </c>
      <c r="K295" s="18"/>
      <c r="L295" s="19">
        <f>SUM(F295:K295)</f>
        <v>119421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f>19047</f>
        <v>19047</v>
      </c>
      <c r="G299" s="18">
        <f>4501</f>
        <v>4501</v>
      </c>
      <c r="H299" s="18">
        <f>169+20728+2276</f>
        <v>23173</v>
      </c>
      <c r="I299" s="18">
        <f>750+748</f>
        <v>1498</v>
      </c>
      <c r="J299" s="18">
        <f>500</f>
        <v>500</v>
      </c>
      <c r="K299" s="18"/>
      <c r="L299" s="19">
        <f t="shared" ref="L299:L305" si="14">SUM(F299:K299)</f>
        <v>48719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>
        <f>750+4394+62418</f>
        <v>67562</v>
      </c>
      <c r="I300" s="18">
        <f>587</f>
        <v>587</v>
      </c>
      <c r="J300" s="18">
        <f>2004</f>
        <v>2004</v>
      </c>
      <c r="K300" s="18"/>
      <c r="L300" s="19">
        <f t="shared" si="14"/>
        <v>70153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>
        <f>1800+1000</f>
        <v>2800</v>
      </c>
      <c r="I301" s="18">
        <f>-89+300</f>
        <v>211</v>
      </c>
      <c r="J301" s="18">
        <f>500</f>
        <v>500</v>
      </c>
      <c r="K301" s="18">
        <f>1967+510+1525+3631</f>
        <v>7633</v>
      </c>
      <c r="L301" s="19">
        <f t="shared" si="14"/>
        <v>11144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>
        <f>280</f>
        <v>280</v>
      </c>
      <c r="I302" s="18">
        <f>153</f>
        <v>153</v>
      </c>
      <c r="J302" s="18"/>
      <c r="K302" s="18"/>
      <c r="L302" s="19">
        <f t="shared" si="14"/>
        <v>433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>
        <f>2913</f>
        <v>2913</v>
      </c>
      <c r="L303" s="19">
        <f t="shared" si="14"/>
        <v>2913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f>994+945</f>
        <v>1939</v>
      </c>
      <c r="I305" s="18"/>
      <c r="J305" s="18"/>
      <c r="K305" s="18"/>
      <c r="L305" s="19">
        <f t="shared" si="14"/>
        <v>1939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98539</v>
      </c>
      <c r="G308" s="42">
        <f t="shared" si="15"/>
        <v>53387</v>
      </c>
      <c r="H308" s="42">
        <f t="shared" si="15"/>
        <v>124758</v>
      </c>
      <c r="I308" s="42">
        <f t="shared" si="15"/>
        <v>10558</v>
      </c>
      <c r="J308" s="42">
        <f t="shared" si="15"/>
        <v>4088</v>
      </c>
      <c r="K308" s="42">
        <f t="shared" si="15"/>
        <v>10546</v>
      </c>
      <c r="L308" s="41">
        <f t="shared" si="15"/>
        <v>301876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33095</f>
        <v>33095</v>
      </c>
      <c r="G313" s="18">
        <f>3344</f>
        <v>3344</v>
      </c>
      <c r="H313" s="18"/>
      <c r="I313" s="18"/>
      <c r="J313" s="18"/>
      <c r="K313" s="18"/>
      <c r="L313" s="19">
        <f>SUM(F313:K313)</f>
        <v>36439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84504</f>
        <v>84504</v>
      </c>
      <c r="G314" s="18">
        <f>68976</f>
        <v>68976</v>
      </c>
      <c r="H314" s="18">
        <f>16287+4666+2577</f>
        <v>23530</v>
      </c>
      <c r="I314" s="18">
        <f>5299+2953</f>
        <v>8252</v>
      </c>
      <c r="J314" s="18">
        <f>1604</f>
        <v>1604</v>
      </c>
      <c r="K314" s="18"/>
      <c r="L314" s="19">
        <f>SUM(F314:K314)</f>
        <v>186866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f>75</f>
        <v>75</v>
      </c>
      <c r="G315" s="18">
        <f>1+5+8</f>
        <v>14</v>
      </c>
      <c r="H315" s="18">
        <f>29212</f>
        <v>29212</v>
      </c>
      <c r="I315" s="18">
        <f>18753</f>
        <v>18753</v>
      </c>
      <c r="J315" s="18">
        <f>16793</f>
        <v>16793</v>
      </c>
      <c r="K315" s="18"/>
      <c r="L315" s="19">
        <f>SUM(F315:K315)</f>
        <v>64847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f>17875+12750+25065+8343</f>
        <v>64033</v>
      </c>
      <c r="G316" s="18">
        <f>260+185+1113+791+102+1609+1609+3+358+105+6+12+1530+534</f>
        <v>8217</v>
      </c>
      <c r="H316" s="18">
        <f>500+500+100+600+1+441+500</f>
        <v>2642</v>
      </c>
      <c r="I316" s="18">
        <f>3316+2417+900+2000+1325</f>
        <v>9958</v>
      </c>
      <c r="J316" s="18"/>
      <c r="K316" s="18"/>
      <c r="L316" s="19">
        <f>SUM(F316:K316)</f>
        <v>84850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f>1383+28178</f>
        <v>29561</v>
      </c>
      <c r="G318" s="18">
        <f>18+6658</f>
        <v>6676</v>
      </c>
      <c r="H318" s="18">
        <f>30664+3367</f>
        <v>34031</v>
      </c>
      <c r="I318" s="18">
        <f>1107</f>
        <v>1107</v>
      </c>
      <c r="J318" s="18"/>
      <c r="K318" s="18"/>
      <c r="L318" s="19">
        <f t="shared" ref="L318:L324" si="16">SUM(F318:K318)</f>
        <v>71375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>
        <f>2964</f>
        <v>2964</v>
      </c>
      <c r="K319" s="18"/>
      <c r="L319" s="19">
        <f t="shared" si="16"/>
        <v>2964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f>7000+7000</f>
        <v>14000</v>
      </c>
      <c r="G320" s="18">
        <f>975+975+97+97+102+102+434+434+791+791</f>
        <v>4798</v>
      </c>
      <c r="H320" s="18"/>
      <c r="I320" s="18"/>
      <c r="J320" s="18"/>
      <c r="K320" s="18">
        <f>5372</f>
        <v>5372</v>
      </c>
      <c r="L320" s="19">
        <f t="shared" si="16"/>
        <v>24170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>
        <f>414</f>
        <v>414</v>
      </c>
      <c r="I321" s="18">
        <f>226</f>
        <v>226</v>
      </c>
      <c r="J321" s="18"/>
      <c r="K321" s="18"/>
      <c r="L321" s="19">
        <f t="shared" si="16"/>
        <v>640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>
        <f>4309</f>
        <v>4309</v>
      </c>
      <c r="L322" s="19">
        <f t="shared" si="16"/>
        <v>4309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f>1398</f>
        <v>1398</v>
      </c>
      <c r="I324" s="18"/>
      <c r="J324" s="18"/>
      <c r="K324" s="18"/>
      <c r="L324" s="19">
        <f t="shared" si="16"/>
        <v>1398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225268</v>
      </c>
      <c r="G327" s="42">
        <f t="shared" si="17"/>
        <v>92025</v>
      </c>
      <c r="H327" s="42">
        <f t="shared" si="17"/>
        <v>91227</v>
      </c>
      <c r="I327" s="42">
        <f t="shared" si="17"/>
        <v>38296</v>
      </c>
      <c r="J327" s="42">
        <f t="shared" si="17"/>
        <v>21361</v>
      </c>
      <c r="K327" s="42">
        <f t="shared" si="17"/>
        <v>9681</v>
      </c>
      <c r="L327" s="41">
        <f t="shared" si="17"/>
        <v>477858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42170</v>
      </c>
      <c r="G332" s="18">
        <f>2438+5018+295-48+566+625+2647+4765</f>
        <v>16306</v>
      </c>
      <c r="H332" s="18">
        <f>3027+375+79</f>
        <v>3481</v>
      </c>
      <c r="I332" s="18"/>
      <c r="J332" s="18"/>
      <c r="K332" s="18"/>
      <c r="L332" s="19">
        <f t="shared" si="18"/>
        <v>61957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42170</v>
      </c>
      <c r="G336" s="41">
        <f t="shared" si="19"/>
        <v>16306</v>
      </c>
      <c r="H336" s="41">
        <f t="shared" si="19"/>
        <v>3481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61957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1086230</v>
      </c>
      <c r="G337" s="41">
        <f t="shared" si="20"/>
        <v>500846</v>
      </c>
      <c r="H337" s="41">
        <f t="shared" si="20"/>
        <v>345312</v>
      </c>
      <c r="I337" s="41">
        <f t="shared" si="20"/>
        <v>106607</v>
      </c>
      <c r="J337" s="41">
        <f t="shared" si="20"/>
        <v>34273</v>
      </c>
      <c r="K337" s="41">
        <f t="shared" si="20"/>
        <v>57002</v>
      </c>
      <c r="L337" s="41">
        <f t="shared" si="20"/>
        <v>2130270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1086230</v>
      </c>
      <c r="G351" s="41">
        <f>G337</f>
        <v>500846</v>
      </c>
      <c r="H351" s="41">
        <f>H337</f>
        <v>345312</v>
      </c>
      <c r="I351" s="41">
        <f>I337</f>
        <v>106607</v>
      </c>
      <c r="J351" s="41">
        <f>J337</f>
        <v>34273</v>
      </c>
      <c r="K351" s="47">
        <f>K337+K350</f>
        <v>57002</v>
      </c>
      <c r="L351" s="41">
        <f>L337+L350</f>
        <v>2130270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3814+5295+1983+97117</f>
        <v>108209</v>
      </c>
      <c r="G357" s="18">
        <f>40+171+36+155+15+1460+13876</f>
        <v>15753</v>
      </c>
      <c r="H357" s="18">
        <f>3326+4458</f>
        <v>7784</v>
      </c>
      <c r="I357" s="18">
        <f>5338+8668+3437+20466+171248</f>
        <v>209157</v>
      </c>
      <c r="J357" s="18">
        <v>-334</v>
      </c>
      <c r="K357" s="18">
        <v>51</v>
      </c>
      <c r="L357" s="13">
        <f>SUM(F357:K357)</f>
        <v>340620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42820</f>
        <v>42820</v>
      </c>
      <c r="G358" s="18">
        <f>6118</f>
        <v>6118</v>
      </c>
      <c r="H358" s="18">
        <f>1466+1965</f>
        <v>3431</v>
      </c>
      <c r="I358" s="18">
        <f>75505</f>
        <v>75505</v>
      </c>
      <c r="J358" s="18">
        <v>-147</v>
      </c>
      <c r="K358" s="18">
        <v>23</v>
      </c>
      <c r="L358" s="19">
        <f>SUM(F358:K358)</f>
        <v>127750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63347</f>
        <v>63347</v>
      </c>
      <c r="G359" s="18">
        <f>9051</f>
        <v>9051</v>
      </c>
      <c r="H359" s="18">
        <f>2169+2908</f>
        <v>5077</v>
      </c>
      <c r="I359" s="18">
        <f>111701</f>
        <v>111701</v>
      </c>
      <c r="J359" s="18">
        <v>-218</v>
      </c>
      <c r="K359" s="18">
        <v>33</v>
      </c>
      <c r="L359" s="19">
        <f>SUM(F359:K359)</f>
        <v>188991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214376</v>
      </c>
      <c r="G361" s="47">
        <f t="shared" si="22"/>
        <v>30922</v>
      </c>
      <c r="H361" s="47">
        <f t="shared" si="22"/>
        <v>16292</v>
      </c>
      <c r="I361" s="47">
        <f t="shared" si="22"/>
        <v>396363</v>
      </c>
      <c r="J361" s="47">
        <f t="shared" si="22"/>
        <v>-699</v>
      </c>
      <c r="K361" s="47">
        <f t="shared" si="22"/>
        <v>107</v>
      </c>
      <c r="L361" s="47">
        <f t="shared" si="22"/>
        <v>657361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5338+8668+3437+20466+163055</f>
        <v>200964</v>
      </c>
      <c r="G366" s="18">
        <f>71892</f>
        <v>71892</v>
      </c>
      <c r="H366" s="18">
        <f>106356</f>
        <v>106356</v>
      </c>
      <c r="I366" s="56">
        <f>SUM(F366:H366)</f>
        <v>379212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I357-F366</f>
        <v>8193</v>
      </c>
      <c r="G367" s="63">
        <f>I358-G366</f>
        <v>3613</v>
      </c>
      <c r="H367" s="63">
        <f>I359-H366</f>
        <v>5345</v>
      </c>
      <c r="I367" s="56">
        <f>SUM(F367:H367)</f>
        <v>17151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209157</v>
      </c>
      <c r="G368" s="47">
        <f>SUM(G366:G367)</f>
        <v>75505</v>
      </c>
      <c r="H368" s="47">
        <f>SUM(H366:H367)</f>
        <v>111701</v>
      </c>
      <c r="I368" s="47">
        <f>SUM(I366:I367)</f>
        <v>396363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0</v>
      </c>
      <c r="I445" s="13">
        <f>SUM(I438:I444)</f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0</v>
      </c>
      <c r="I459" s="83">
        <f>SUM(I453:I458)</f>
        <v>0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0</v>
      </c>
      <c r="I460" s="42">
        <f>I451+I459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183339</v>
      </c>
      <c r="G464" s="18">
        <v>42131</v>
      </c>
      <c r="H464" s="18">
        <v>-207703</v>
      </c>
      <c r="I464" s="18"/>
      <c r="J464" s="18"/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28996585</v>
      </c>
      <c r="G467" s="18">
        <f>G192</f>
        <v>631077</v>
      </c>
      <c r="H467" s="18">
        <f>H192</f>
        <v>2160480</v>
      </c>
      <c r="I467" s="18"/>
      <c r="J467" s="18"/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f>417129-F464+383765+31444</f>
        <v>648999</v>
      </c>
      <c r="G468" s="18">
        <f>119865</f>
        <v>119865</v>
      </c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29645584</v>
      </c>
      <c r="G469" s="53">
        <f>SUM(G467:G468)</f>
        <v>750942</v>
      </c>
      <c r="H469" s="53">
        <f>SUM(H467:H468)</f>
        <v>2160480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28268874</v>
      </c>
      <c r="G471" s="18">
        <f>L361</f>
        <v>657361</v>
      </c>
      <c r="H471" s="18">
        <f>L337</f>
        <v>2130270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>
        <v>115052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28268874</v>
      </c>
      <c r="G473" s="53">
        <f>SUM(G471:G472)</f>
        <v>657361</v>
      </c>
      <c r="H473" s="53">
        <f>SUM(H471:H472)</f>
        <v>2245322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1560049</v>
      </c>
      <c r="G475" s="53">
        <f>(G464+G469)- G473</f>
        <v>135712</v>
      </c>
      <c r="H475" s="53">
        <f>(H464+H469)- H473</f>
        <v>-292545</v>
      </c>
      <c r="I475" s="53">
        <f>(I464+I469)- I473</f>
        <v>0</v>
      </c>
      <c r="J475" s="53">
        <f>(J464+J469)- J473</f>
        <v>0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6600000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5.4257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1320000</v>
      </c>
      <c r="G494" s="18"/>
      <c r="H494" s="18"/>
      <c r="I494" s="18"/>
      <c r="J494" s="18"/>
      <c r="K494" s="53">
        <f>SUM(F494:J494)</f>
        <v>1320000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330000</v>
      </c>
      <c r="G496" s="18"/>
      <c r="H496" s="18"/>
      <c r="I496" s="18"/>
      <c r="J496" s="18"/>
      <c r="K496" s="53">
        <f t="shared" si="35"/>
        <v>330000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990000</v>
      </c>
      <c r="G497" s="204"/>
      <c r="H497" s="204"/>
      <c r="I497" s="204"/>
      <c r="J497" s="204"/>
      <c r="K497" s="205">
        <f t="shared" si="35"/>
        <v>990000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83325</v>
      </c>
      <c r="G498" s="18"/>
      <c r="H498" s="18"/>
      <c r="I498" s="18"/>
      <c r="J498" s="18"/>
      <c r="K498" s="53">
        <f t="shared" si="35"/>
        <v>83325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1073325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1073325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330000</v>
      </c>
      <c r="G500" s="204"/>
      <c r="H500" s="204"/>
      <c r="I500" s="204"/>
      <c r="J500" s="204"/>
      <c r="K500" s="205">
        <f t="shared" si="35"/>
        <v>330000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46200</v>
      </c>
      <c r="G501" s="18"/>
      <c r="H501" s="18"/>
      <c r="I501" s="18"/>
      <c r="J501" s="18"/>
      <c r="K501" s="53">
        <f t="shared" si="35"/>
        <v>46200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376200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376200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 t="shared" ref="F520:K520" si="36">F197+F276</f>
        <v>2215899</v>
      </c>
      <c r="G520" s="18">
        <f t="shared" si="36"/>
        <v>925520</v>
      </c>
      <c r="H520" s="18">
        <f t="shared" si="36"/>
        <v>895974</v>
      </c>
      <c r="I520" s="18">
        <f t="shared" si="36"/>
        <v>56839</v>
      </c>
      <c r="J520" s="18">
        <f t="shared" si="36"/>
        <v>4162</v>
      </c>
      <c r="K520" s="18">
        <f t="shared" si="36"/>
        <v>0</v>
      </c>
      <c r="L520" s="88">
        <f>SUM(F520:K520)</f>
        <v>4098394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F215+F295</f>
        <v>659595</v>
      </c>
      <c r="G521" s="18">
        <f>G215+G295</f>
        <v>303949</v>
      </c>
      <c r="H521" s="18">
        <f>H215+H295</f>
        <v>728796</v>
      </c>
      <c r="I521" s="18">
        <f>I295+I215</f>
        <v>6008</v>
      </c>
      <c r="J521" s="18">
        <f>J215+J295</f>
        <v>1084</v>
      </c>
      <c r="K521" s="18">
        <f>K215+K295</f>
        <v>0</v>
      </c>
      <c r="L521" s="88">
        <f>SUM(F521:K521)</f>
        <v>1699432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 t="shared" ref="F522:K522" si="37">F233+F314</f>
        <v>720820</v>
      </c>
      <c r="G522" s="18">
        <f t="shared" si="37"/>
        <v>380902</v>
      </c>
      <c r="H522" s="18">
        <f>H233+H314</f>
        <v>1256385</v>
      </c>
      <c r="I522" s="18">
        <f t="shared" si="37"/>
        <v>14312</v>
      </c>
      <c r="J522" s="18">
        <f t="shared" si="37"/>
        <v>1604</v>
      </c>
      <c r="K522" s="18">
        <f t="shared" si="37"/>
        <v>0</v>
      </c>
      <c r="L522" s="88">
        <f>SUM(F522:K522)</f>
        <v>2374023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3596314</v>
      </c>
      <c r="G523" s="108">
        <f t="shared" ref="G523:L523" si="38">SUM(G520:G522)</f>
        <v>1610371</v>
      </c>
      <c r="H523" s="108">
        <f t="shared" si="38"/>
        <v>2881155</v>
      </c>
      <c r="I523" s="108">
        <f t="shared" si="38"/>
        <v>77159</v>
      </c>
      <c r="J523" s="108">
        <f t="shared" si="38"/>
        <v>6850</v>
      </c>
      <c r="K523" s="108">
        <f t="shared" si="38"/>
        <v>0</v>
      </c>
      <c r="L523" s="89">
        <f t="shared" si="38"/>
        <v>8171849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116722</v>
      </c>
      <c r="I525" s="18"/>
      <c r="J525" s="18"/>
      <c r="K525" s="18"/>
      <c r="L525" s="88">
        <f>SUM(F525:K525)</f>
        <v>116722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>
        <v>16372</v>
      </c>
      <c r="I526" s="18"/>
      <c r="J526" s="18"/>
      <c r="K526" s="18"/>
      <c r="L526" s="88">
        <f>SUM(F526:K526)</f>
        <v>16372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146609</v>
      </c>
      <c r="I527" s="18"/>
      <c r="J527" s="18"/>
      <c r="K527" s="18"/>
      <c r="L527" s="88">
        <f>SUM(F527:K527)</f>
        <v>146609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9">SUM(G525:G527)</f>
        <v>0</v>
      </c>
      <c r="H528" s="89">
        <f t="shared" si="39"/>
        <v>279703</v>
      </c>
      <c r="I528" s="89">
        <f t="shared" si="39"/>
        <v>0</v>
      </c>
      <c r="J528" s="89">
        <f t="shared" si="39"/>
        <v>0</v>
      </c>
      <c r="K528" s="89">
        <f t="shared" si="39"/>
        <v>0</v>
      </c>
      <c r="L528" s="89">
        <f t="shared" si="39"/>
        <v>279703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32181</v>
      </c>
      <c r="G530" s="18">
        <v>19719</v>
      </c>
      <c r="H530" s="18">
        <f>287+635+346</f>
        <v>1268</v>
      </c>
      <c r="I530" s="18"/>
      <c r="J530" s="18">
        <f>239</f>
        <v>239</v>
      </c>
      <c r="K530" s="18"/>
      <c r="L530" s="88">
        <f>SUM(F530:K530)</f>
        <v>53407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14189</v>
      </c>
      <c r="G531" s="18">
        <v>8694</v>
      </c>
      <c r="H531" s="18">
        <f>126+280+153</f>
        <v>559</v>
      </c>
      <c r="I531" s="18"/>
      <c r="J531" s="18">
        <f>105</f>
        <v>105</v>
      </c>
      <c r="K531" s="18"/>
      <c r="L531" s="88">
        <f>SUM(F531:K531)</f>
        <v>23547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20991</v>
      </c>
      <c r="G532" s="18">
        <v>12862</v>
      </c>
      <c r="H532" s="18">
        <f>187+414+226</f>
        <v>827</v>
      </c>
      <c r="I532" s="18"/>
      <c r="J532" s="18">
        <f>156</f>
        <v>156</v>
      </c>
      <c r="K532" s="18"/>
      <c r="L532" s="88">
        <f>SUM(F532:K532)</f>
        <v>34836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67361</v>
      </c>
      <c r="G533" s="89">
        <f t="shared" ref="G533:L533" si="40">SUM(G530:G532)</f>
        <v>41275</v>
      </c>
      <c r="H533" s="89">
        <f t="shared" si="40"/>
        <v>2654</v>
      </c>
      <c r="I533" s="89">
        <f t="shared" si="40"/>
        <v>0</v>
      </c>
      <c r="J533" s="89">
        <f t="shared" si="40"/>
        <v>500</v>
      </c>
      <c r="K533" s="89">
        <f t="shared" si="40"/>
        <v>0</v>
      </c>
      <c r="L533" s="89">
        <f t="shared" si="40"/>
        <v>111790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8894</v>
      </c>
      <c r="I535" s="18"/>
      <c r="J535" s="18"/>
      <c r="K535" s="18"/>
      <c r="L535" s="88">
        <f>SUM(F535:K535)</f>
        <v>8894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1">SUM(G535:G537)</f>
        <v>0</v>
      </c>
      <c r="H538" s="89">
        <f t="shared" si="41"/>
        <v>8894</v>
      </c>
      <c r="I538" s="89">
        <f t="shared" si="41"/>
        <v>0</v>
      </c>
      <c r="J538" s="89">
        <f t="shared" si="41"/>
        <v>0</v>
      </c>
      <c r="K538" s="89">
        <f t="shared" si="41"/>
        <v>0</v>
      </c>
      <c r="L538" s="89">
        <f t="shared" si="41"/>
        <v>8894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f>34070</f>
        <v>34070</v>
      </c>
      <c r="G540" s="18">
        <v>3934</v>
      </c>
      <c r="H540" s="18">
        <f>H591-F540-G540</f>
        <v>50104</v>
      </c>
      <c r="I540" s="18"/>
      <c r="J540" s="18"/>
      <c r="K540" s="18"/>
      <c r="L540" s="88">
        <f>SUM(F540:K540)</f>
        <v>88108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f>21741</f>
        <v>21741</v>
      </c>
      <c r="G541" s="18">
        <v>6455</v>
      </c>
      <c r="H541" s="18">
        <f>I591-F541-G541</f>
        <v>24843</v>
      </c>
      <c r="I541" s="18"/>
      <c r="J541" s="18"/>
      <c r="K541" s="18"/>
      <c r="L541" s="88">
        <f>SUM(F541:K541)</f>
        <v>53039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f>J591-F542-G542</f>
        <v>135243</v>
      </c>
      <c r="I542" s="18"/>
      <c r="J542" s="18"/>
      <c r="K542" s="18"/>
      <c r="L542" s="88">
        <f>SUM(F542:K542)</f>
        <v>135243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55811</v>
      </c>
      <c r="G543" s="193">
        <f t="shared" ref="G543:L543" si="42">SUM(G540:G542)</f>
        <v>10389</v>
      </c>
      <c r="H543" s="193">
        <f t="shared" si="42"/>
        <v>210190</v>
      </c>
      <c r="I543" s="193">
        <f t="shared" si="42"/>
        <v>0</v>
      </c>
      <c r="J543" s="193">
        <f t="shared" si="42"/>
        <v>0</v>
      </c>
      <c r="K543" s="193">
        <f t="shared" si="42"/>
        <v>0</v>
      </c>
      <c r="L543" s="193">
        <f t="shared" si="42"/>
        <v>276390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3719486</v>
      </c>
      <c r="G544" s="89">
        <f t="shared" ref="G544:L544" si="43">G523+G528+G533+G538+G543</f>
        <v>1662035</v>
      </c>
      <c r="H544" s="89">
        <f t="shared" si="43"/>
        <v>3382596</v>
      </c>
      <c r="I544" s="89">
        <f t="shared" si="43"/>
        <v>77159</v>
      </c>
      <c r="J544" s="89">
        <f t="shared" si="43"/>
        <v>7350</v>
      </c>
      <c r="K544" s="89">
        <f t="shared" si="43"/>
        <v>0</v>
      </c>
      <c r="L544" s="89">
        <f t="shared" si="43"/>
        <v>8848626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4098394</v>
      </c>
      <c r="G548" s="87">
        <f>L525</f>
        <v>116722</v>
      </c>
      <c r="H548" s="87">
        <f>L530</f>
        <v>53407</v>
      </c>
      <c r="I548" s="87">
        <f>L535</f>
        <v>8894</v>
      </c>
      <c r="J548" s="87">
        <f>L540</f>
        <v>88108</v>
      </c>
      <c r="K548" s="87">
        <f>SUM(F548:J548)</f>
        <v>4365525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1699432</v>
      </c>
      <c r="G549" s="87">
        <f>L526</f>
        <v>16372</v>
      </c>
      <c r="H549" s="87">
        <f>L531</f>
        <v>23547</v>
      </c>
      <c r="I549" s="87">
        <f>L536</f>
        <v>0</v>
      </c>
      <c r="J549" s="87">
        <f>L541</f>
        <v>53039</v>
      </c>
      <c r="K549" s="87">
        <f>SUM(F549:J549)</f>
        <v>1792390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2374023</v>
      </c>
      <c r="G550" s="87">
        <f>L527</f>
        <v>146609</v>
      </c>
      <c r="H550" s="87">
        <f>L532</f>
        <v>34836</v>
      </c>
      <c r="I550" s="87">
        <f>L537</f>
        <v>0</v>
      </c>
      <c r="J550" s="87">
        <f>L542</f>
        <v>135243</v>
      </c>
      <c r="K550" s="87">
        <f>SUM(F550:J550)</f>
        <v>2690711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4">SUM(F548:F550)</f>
        <v>8171849</v>
      </c>
      <c r="G551" s="89">
        <f t="shared" si="44"/>
        <v>279703</v>
      </c>
      <c r="H551" s="89">
        <f t="shared" si="44"/>
        <v>111790</v>
      </c>
      <c r="I551" s="89">
        <f t="shared" si="44"/>
        <v>8894</v>
      </c>
      <c r="J551" s="89">
        <f t="shared" si="44"/>
        <v>276390</v>
      </c>
      <c r="K551" s="89">
        <f t="shared" si="44"/>
        <v>8848626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5">SUM(F556:F558)</f>
        <v>0</v>
      </c>
      <c r="G559" s="108">
        <f t="shared" si="45"/>
        <v>0</v>
      </c>
      <c r="H559" s="108">
        <f t="shared" si="45"/>
        <v>0</v>
      </c>
      <c r="I559" s="108">
        <f t="shared" si="45"/>
        <v>0</v>
      </c>
      <c r="J559" s="108">
        <f t="shared" si="45"/>
        <v>0</v>
      </c>
      <c r="K559" s="108">
        <f t="shared" si="45"/>
        <v>0</v>
      </c>
      <c r="L559" s="89">
        <f t="shared" si="45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6">SUM(F561:F563)</f>
        <v>0</v>
      </c>
      <c r="G564" s="89">
        <f t="shared" si="46"/>
        <v>0</v>
      </c>
      <c r="H564" s="89">
        <f t="shared" si="46"/>
        <v>0</v>
      </c>
      <c r="I564" s="89">
        <f t="shared" si="46"/>
        <v>0</v>
      </c>
      <c r="J564" s="89">
        <f t="shared" si="46"/>
        <v>0</v>
      </c>
      <c r="K564" s="89">
        <f t="shared" si="46"/>
        <v>0</v>
      </c>
      <c r="L564" s="89">
        <f t="shared" si="46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7">SUM(G566:G568)</f>
        <v>0</v>
      </c>
      <c r="H569" s="193">
        <f t="shared" si="47"/>
        <v>0</v>
      </c>
      <c r="I569" s="193">
        <f t="shared" si="47"/>
        <v>0</v>
      </c>
      <c r="J569" s="193">
        <f t="shared" si="47"/>
        <v>0</v>
      </c>
      <c r="K569" s="193">
        <f t="shared" si="47"/>
        <v>0</v>
      </c>
      <c r="L569" s="193">
        <f t="shared" si="47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8">G559+G564+G569</f>
        <v>0</v>
      </c>
      <c r="H570" s="89">
        <f t="shared" si="48"/>
        <v>0</v>
      </c>
      <c r="I570" s="89">
        <f t="shared" si="48"/>
        <v>0</v>
      </c>
      <c r="J570" s="89">
        <f t="shared" si="48"/>
        <v>0</v>
      </c>
      <c r="K570" s="89">
        <f t="shared" si="48"/>
        <v>0</v>
      </c>
      <c r="L570" s="89">
        <f t="shared" si="48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9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9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9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19196</f>
        <v>19196</v>
      </c>
      <c r="G578" s="18"/>
      <c r="H578" s="18">
        <f>48985</f>
        <v>48985</v>
      </c>
      <c r="I578" s="87">
        <f t="shared" si="49"/>
        <v>68181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>
        <f>49804</f>
        <v>49804</v>
      </c>
      <c r="H579" s="18"/>
      <c r="I579" s="87">
        <f t="shared" si="49"/>
        <v>49804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9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317937+143004</f>
        <v>460941</v>
      </c>
      <c r="G581" s="18">
        <f>434297+93489</f>
        <v>527786</v>
      </c>
      <c r="H581" s="18">
        <f>666793+130010</f>
        <v>796803</v>
      </c>
      <c r="I581" s="87">
        <f t="shared" si="49"/>
        <v>1785530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9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9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9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9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9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L207-H591-H593-H594</f>
        <v>319965</v>
      </c>
      <c r="I590" s="18">
        <f>L225-I591-I593-I594</f>
        <v>127394</v>
      </c>
      <c r="J590" s="18">
        <f>L243-J591-J593-J594-J592</f>
        <v>91805</v>
      </c>
      <c r="K590" s="104">
        <f t="shared" ref="K590:K596" si="50">SUM(H590:J590)</f>
        <v>539164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88108</v>
      </c>
      <c r="I591" s="18">
        <f>53039</f>
        <v>53039</v>
      </c>
      <c r="J591" s="18">
        <f>135243</f>
        <v>135243</v>
      </c>
      <c r="K591" s="104">
        <f t="shared" si="50"/>
        <v>276390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40937</v>
      </c>
      <c r="K592" s="104">
        <f t="shared" si="50"/>
        <v>40937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f>8965</f>
        <v>8965</v>
      </c>
      <c r="J593" s="18">
        <f>24349</f>
        <v>24349</v>
      </c>
      <c r="K593" s="104">
        <f t="shared" si="50"/>
        <v>33314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509+1051+579</f>
        <v>2139</v>
      </c>
      <c r="I594" s="18">
        <f>1389</f>
        <v>1389</v>
      </c>
      <c r="J594" s="18">
        <f>8654</f>
        <v>8654</v>
      </c>
      <c r="K594" s="104">
        <f t="shared" si="50"/>
        <v>12182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50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50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410212</v>
      </c>
      <c r="I597" s="108">
        <f>SUM(I590:I596)</f>
        <v>190787</v>
      </c>
      <c r="J597" s="108">
        <f>SUM(J590:J596)</f>
        <v>300988</v>
      </c>
      <c r="K597" s="108">
        <f>SUM(K590:K596)</f>
        <v>901987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J210+J289+J336</f>
        <v>136028</v>
      </c>
      <c r="I603" s="18">
        <f>J228+J308</f>
        <v>77333</v>
      </c>
      <c r="J603" s="18">
        <f>J246+J327</f>
        <v>154208</v>
      </c>
      <c r="K603" s="104">
        <f>SUM(H603:J603)</f>
        <v>367569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136028</v>
      </c>
      <c r="I604" s="108">
        <f>SUM(I601:I603)</f>
        <v>77333</v>
      </c>
      <c r="J604" s="108">
        <f>SUM(J601:J603)</f>
        <v>154208</v>
      </c>
      <c r="K604" s="108">
        <f>SUM(K601:K603)</f>
        <v>367569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1">SUM(F610:F612)</f>
        <v>0</v>
      </c>
      <c r="G613" s="108">
        <f t="shared" si="51"/>
        <v>0</v>
      </c>
      <c r="H613" s="108">
        <f t="shared" si="51"/>
        <v>0</v>
      </c>
      <c r="I613" s="108">
        <f t="shared" si="51"/>
        <v>0</v>
      </c>
      <c r="J613" s="108">
        <f t="shared" si="51"/>
        <v>0</v>
      </c>
      <c r="K613" s="108">
        <f t="shared" si="51"/>
        <v>0</v>
      </c>
      <c r="L613" s="89">
        <f t="shared" si="51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1684420</v>
      </c>
      <c r="H616" s="109">
        <f>SUM(F51)</f>
        <v>1684420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122573</v>
      </c>
      <c r="H617" s="109">
        <f>SUM(G51)</f>
        <v>122573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685787</v>
      </c>
      <c r="H618" s="109">
        <f>SUM(H51)</f>
        <v>685787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0</v>
      </c>
      <c r="H620" s="109">
        <f>SUM(J51)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1560049</v>
      </c>
      <c r="H621" s="109">
        <f>F475</f>
        <v>1560049</v>
      </c>
      <c r="I621" s="121" t="s">
        <v>101</v>
      </c>
      <c r="J621" s="109">
        <f t="shared" ref="J621:J654" si="52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135712</v>
      </c>
      <c r="H622" s="109">
        <f>G475</f>
        <v>135712</v>
      </c>
      <c r="I622" s="121" t="s">
        <v>102</v>
      </c>
      <c r="J622" s="109">
        <f t="shared" si="52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-292545</v>
      </c>
      <c r="H623" s="109">
        <f>H475</f>
        <v>-292545</v>
      </c>
      <c r="I623" s="121" t="s">
        <v>103</v>
      </c>
      <c r="J623" s="109">
        <f t="shared" si="52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2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0</v>
      </c>
      <c r="H625" s="109">
        <f>J475</f>
        <v>0</v>
      </c>
      <c r="I625" s="140" t="s">
        <v>105</v>
      </c>
      <c r="J625" s="109">
        <f t="shared" si="52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28996585</v>
      </c>
      <c r="H626" s="104">
        <f>SUM(F467)</f>
        <v>28996585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631077</v>
      </c>
      <c r="H627" s="104">
        <f>SUM(G467)</f>
        <v>631077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2160480</v>
      </c>
      <c r="H628" s="104">
        <f>SUM(H467)</f>
        <v>2160480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28268874</v>
      </c>
      <c r="H631" s="104">
        <f>SUM(F471)</f>
        <v>28268874</v>
      </c>
      <c r="I631" s="140" t="s">
        <v>111</v>
      </c>
      <c r="J631" s="109">
        <f t="shared" si="52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2130270</v>
      </c>
      <c r="H632" s="104">
        <f>SUM(H471)</f>
        <v>2130270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396363</v>
      </c>
      <c r="H633" s="104">
        <f>I368</f>
        <v>396363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657361</v>
      </c>
      <c r="H634" s="104">
        <f>SUM(G471)</f>
        <v>657361</v>
      </c>
      <c r="I634" s="140" t="s">
        <v>114</v>
      </c>
      <c r="J634" s="109">
        <f t="shared" si="52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2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2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2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2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2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2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0</v>
      </c>
      <c r="H641" s="104">
        <f>SUM(I460)</f>
        <v>0</v>
      </c>
      <c r="I641" s="140" t="s">
        <v>860</v>
      </c>
      <c r="J641" s="109">
        <f t="shared" si="52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2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2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2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2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901987</v>
      </c>
      <c r="H646" s="104">
        <f>L207+L225+L243</f>
        <v>901987</v>
      </c>
      <c r="I646" s="140" t="s">
        <v>397</v>
      </c>
      <c r="J646" s="109">
        <f t="shared" si="52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367569</v>
      </c>
      <c r="H647" s="104">
        <f>(J256+J337)-(J254+J335)</f>
        <v>367569</v>
      </c>
      <c r="I647" s="140" t="s">
        <v>703</v>
      </c>
      <c r="J647" s="109">
        <f t="shared" si="52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410212</v>
      </c>
      <c r="H648" s="104">
        <f>H597</f>
        <v>410212</v>
      </c>
      <c r="I648" s="140" t="s">
        <v>389</v>
      </c>
      <c r="J648" s="109">
        <f t="shared" si="52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190787</v>
      </c>
      <c r="H649" s="104">
        <f>I597</f>
        <v>190787</v>
      </c>
      <c r="I649" s="140" t="s">
        <v>390</v>
      </c>
      <c r="J649" s="109">
        <f t="shared" si="52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300988</v>
      </c>
      <c r="H650" s="104">
        <f>J597</f>
        <v>300988</v>
      </c>
      <c r="I650" s="140" t="s">
        <v>391</v>
      </c>
      <c r="J650" s="109">
        <f t="shared" si="52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2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41000</v>
      </c>
      <c r="H652" s="104">
        <f>K263</f>
        <v>41000</v>
      </c>
      <c r="I652" s="140" t="s">
        <v>399</v>
      </c>
      <c r="J652" s="109">
        <f t="shared" si="52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2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2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12783841</v>
      </c>
      <c r="G659" s="19">
        <f>(L228+L308+L358)</f>
        <v>6451247</v>
      </c>
      <c r="H659" s="19">
        <f>(L246+L327+L359)</f>
        <v>11324110</v>
      </c>
      <c r="I659" s="19">
        <f>SUM(F659:H659)</f>
        <v>30559198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90528.736599828713</v>
      </c>
      <c r="G660" s="19">
        <f>(L358/IF(SUM(L357:L359)=0,1,SUM(L357:L359))*(SUM(G96:G109)))</f>
        <v>33952.927310868763</v>
      </c>
      <c r="H660" s="19">
        <f>(L359/IF(SUM(L357:L359)=0,1,SUM(L357:L359))*(SUM(G96:G109)))</f>
        <v>50229.336089302531</v>
      </c>
      <c r="I660" s="19">
        <f>SUM(F660:H660)</f>
        <v>174711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403995</v>
      </c>
      <c r="G661" s="19">
        <f>(L225+L305)-(J225+J305)</f>
        <v>189040</v>
      </c>
      <c r="H661" s="19">
        <f>(L243+L324)-(J243+J324)</f>
        <v>296933</v>
      </c>
      <c r="I661" s="19">
        <f>SUM(F661:H661)</f>
        <v>889968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616165</v>
      </c>
      <c r="G662" s="199">
        <f>SUM(G574:G586)+SUM(I601:I603)+L611</f>
        <v>654923</v>
      </c>
      <c r="H662" s="199">
        <f>SUM(H574:H586)+SUM(J601:J603)+L612</f>
        <v>999996</v>
      </c>
      <c r="I662" s="19">
        <f>SUM(F662:H662)</f>
        <v>2271084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11673152.263400171</v>
      </c>
      <c r="G663" s="19">
        <f>G659-SUM(G660:G662)</f>
        <v>5573331.0726891309</v>
      </c>
      <c r="H663" s="19">
        <f>H659-SUM(H660:H662)</f>
        <v>9976951.6639106981</v>
      </c>
      <c r="I663" s="19">
        <f>I659-SUM(I660:I662)</f>
        <v>27223435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799.18</v>
      </c>
      <c r="G664" s="248">
        <v>392.13</v>
      </c>
      <c r="H664" s="248">
        <v>580.80999999999995</v>
      </c>
      <c r="I664" s="19">
        <f>SUM(F664:H664)</f>
        <v>1772.12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14606.41</v>
      </c>
      <c r="G666" s="19">
        <f>ROUND(G663/G664,2)</f>
        <v>14212.97</v>
      </c>
      <c r="H666" s="19">
        <f>ROUND(H663/H664,2)</f>
        <v>17177.650000000001</v>
      </c>
      <c r="I666" s="19">
        <f>ROUND(I663/I664,2)</f>
        <v>15362.07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-3.71</v>
      </c>
      <c r="I669" s="19">
        <f>SUM(F669:H669)</f>
        <v>-3.71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14606.41</v>
      </c>
      <c r="G671" s="19">
        <f>ROUND((G663+G668)/(G664+G669),2)</f>
        <v>14212.97</v>
      </c>
      <c r="H671" s="19">
        <f>ROUND((H663+H668)/(H664+H669),2)</f>
        <v>17288.080000000002</v>
      </c>
      <c r="I671" s="19">
        <f>ROUND((I663+I668)/(I664+I669),2)</f>
        <v>15394.3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2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Claremont SD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5969352</v>
      </c>
      <c r="C9" s="229">
        <f>'DOE25'!G196+'DOE25'!G214+'DOE25'!G232+'DOE25'!G275+'DOE25'!G294+'DOE25'!G313</f>
        <v>3791829</v>
      </c>
    </row>
    <row r="10" spans="1:3" x14ac:dyDescent="0.2">
      <c r="A10" t="s">
        <v>779</v>
      </c>
      <c r="B10" s="240">
        <f>5969352-B11-B12</f>
        <v>5312446</v>
      </c>
      <c r="C10" s="240">
        <f>C9-C11-C12</f>
        <v>3742925.7813869999</v>
      </c>
    </row>
    <row r="11" spans="1:3" x14ac:dyDescent="0.2">
      <c r="A11" t="s">
        <v>780</v>
      </c>
      <c r="B11" s="240">
        <f>8864+17515+22656+28006</f>
        <v>77041</v>
      </c>
      <c r="C11" s="240">
        <f>C9*0.004129</f>
        <v>15656.461941</v>
      </c>
    </row>
    <row r="12" spans="1:3" x14ac:dyDescent="0.2">
      <c r="A12" t="s">
        <v>781</v>
      </c>
      <c r="B12" s="240">
        <f>106297+5138+65544+31792+130231+65+227598+13200</f>
        <v>579865</v>
      </c>
      <c r="C12" s="240">
        <f>C9*0.008768</f>
        <v>33246.756671999996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5969352</v>
      </c>
      <c r="C13" s="231">
        <f>SUM(C10:C12)</f>
        <v>3791829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3596314</v>
      </c>
      <c r="C18" s="229">
        <f>'DOE25'!G197+'DOE25'!G215+'DOE25'!G233+'DOE25'!G276+'DOE25'!G295+'DOE25'!G314</f>
        <v>1610371</v>
      </c>
    </row>
    <row r="19" spans="1:3" x14ac:dyDescent="0.2">
      <c r="A19" t="s">
        <v>779</v>
      </c>
      <c r="B19" s="240">
        <f>B18-B20-B21</f>
        <v>2174595</v>
      </c>
      <c r="C19" s="240">
        <f>C18-C20-C21</f>
        <v>1082539.6973299999</v>
      </c>
    </row>
    <row r="20" spans="1:3" x14ac:dyDescent="0.2">
      <c r="A20" t="s">
        <v>780</v>
      </c>
      <c r="B20" s="240">
        <f>240894+481565+299083+195912+194081</f>
        <v>1411535</v>
      </c>
      <c r="C20" s="240">
        <f>C18*0.32777</f>
        <v>527831.30267</v>
      </c>
    </row>
    <row r="21" spans="1:3" x14ac:dyDescent="0.2">
      <c r="A21" t="s">
        <v>781</v>
      </c>
      <c r="B21" s="240">
        <v>10184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3596314</v>
      </c>
      <c r="C22" s="231">
        <f>SUM(C19:C21)</f>
        <v>1610371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878666</v>
      </c>
      <c r="C27" s="234">
        <f>'DOE25'!G198+'DOE25'!G216+'DOE25'!G234+'DOE25'!G277+'DOE25'!G296+'DOE25'!G315</f>
        <v>517084</v>
      </c>
    </row>
    <row r="28" spans="1:3" x14ac:dyDescent="0.2">
      <c r="A28" t="s">
        <v>779</v>
      </c>
      <c r="B28" s="240">
        <f>B27-B29-B30</f>
        <v>878666</v>
      </c>
      <c r="C28" s="240">
        <f>C27-C29-C30</f>
        <v>517084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878666</v>
      </c>
      <c r="C31" s="231">
        <f>SUM(C28:C30)</f>
        <v>517084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333457</v>
      </c>
      <c r="C36" s="235">
        <f>'DOE25'!G199+'DOE25'!G217+'DOE25'!G235+'DOE25'!G278+'DOE25'!G297+'DOE25'!G316</f>
        <v>77923</v>
      </c>
    </row>
    <row r="37" spans="1:3" x14ac:dyDescent="0.2">
      <c r="A37" t="s">
        <v>779</v>
      </c>
      <c r="B37" s="240">
        <f>B36-B38-B39</f>
        <v>111162</v>
      </c>
      <c r="C37" s="240">
        <f>C36-C38-C39</f>
        <v>48561.613599999997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48267+168209+5819</f>
        <v>222295</v>
      </c>
      <c r="C39" s="240">
        <f>C36*0.3768</f>
        <v>29361.386400000003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333457</v>
      </c>
      <c r="C40" s="231">
        <f>SUM(C37:C39)</f>
        <v>77923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Claremont SD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19184460</v>
      </c>
      <c r="D5" s="20">
        <f>SUM('DOE25'!L196:L199)+SUM('DOE25'!L214:L217)+SUM('DOE25'!L232:L235)-F5-G5</f>
        <v>18901322</v>
      </c>
      <c r="E5" s="243"/>
      <c r="F5" s="255">
        <f>SUM('DOE25'!J196:J199)+SUM('DOE25'!J214:J217)+SUM('DOE25'!J232:J235)</f>
        <v>263109</v>
      </c>
      <c r="G5" s="53">
        <f>SUM('DOE25'!K196:K199)+SUM('DOE25'!K214:K217)+SUM('DOE25'!K232:K235)</f>
        <v>20029</v>
      </c>
      <c r="H5" s="259"/>
    </row>
    <row r="6" spans="1:9" x14ac:dyDescent="0.2">
      <c r="A6" s="32">
        <v>2100</v>
      </c>
      <c r="B6" t="s">
        <v>801</v>
      </c>
      <c r="C6" s="245">
        <f t="shared" si="0"/>
        <v>1612097</v>
      </c>
      <c r="D6" s="20">
        <f>'DOE25'!L201+'DOE25'!L219+'DOE25'!L237-F6-G6</f>
        <v>1606954</v>
      </c>
      <c r="E6" s="243"/>
      <c r="F6" s="255">
        <f>'DOE25'!J201+'DOE25'!J219+'DOE25'!J237</f>
        <v>2184</v>
      </c>
      <c r="G6" s="53">
        <f>'DOE25'!K201+'DOE25'!K219+'DOE25'!K237</f>
        <v>2959</v>
      </c>
      <c r="H6" s="259"/>
    </row>
    <row r="7" spans="1:9" x14ac:dyDescent="0.2">
      <c r="A7" s="32">
        <v>2200</v>
      </c>
      <c r="B7" t="s">
        <v>834</v>
      </c>
      <c r="C7" s="245">
        <f t="shared" si="0"/>
        <v>624089</v>
      </c>
      <c r="D7" s="20">
        <f>'DOE25'!L202+'DOE25'!L220+'DOE25'!L238-F7-G7</f>
        <v>585343</v>
      </c>
      <c r="E7" s="243"/>
      <c r="F7" s="255">
        <f>'DOE25'!J202+'DOE25'!J220+'DOE25'!J238</f>
        <v>38581</v>
      </c>
      <c r="G7" s="53">
        <f>'DOE25'!K202+'DOE25'!K220+'DOE25'!K238</f>
        <v>165</v>
      </c>
      <c r="H7" s="259"/>
    </row>
    <row r="8" spans="1:9" x14ac:dyDescent="0.2">
      <c r="A8" s="32">
        <v>2300</v>
      </c>
      <c r="B8" t="s">
        <v>802</v>
      </c>
      <c r="C8" s="245">
        <f t="shared" si="0"/>
        <v>990843</v>
      </c>
      <c r="D8" s="243"/>
      <c r="E8" s="20">
        <f>'DOE25'!L203+'DOE25'!L221+'DOE25'!L239-F8-G8-D9-D11</f>
        <v>990843</v>
      </c>
      <c r="F8" s="255">
        <f>'DOE25'!J203+'DOE25'!J221+'DOE25'!J239</f>
        <v>0</v>
      </c>
      <c r="G8" s="53">
        <f>'DOE25'!K203+'DOE25'!K221+'DOE25'!K239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171932</v>
      </c>
      <c r="D9" s="244">
        <v>171932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21615</v>
      </c>
      <c r="D10" s="243"/>
      <c r="E10" s="244">
        <v>21615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150183</v>
      </c>
      <c r="D11" s="244">
        <f>11631+138552</f>
        <v>150183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1706676</v>
      </c>
      <c r="D12" s="20">
        <f>'DOE25'!L204+'DOE25'!L222+'DOE25'!L240-F12-G12</f>
        <v>1698813</v>
      </c>
      <c r="E12" s="243"/>
      <c r="F12" s="255">
        <f>'DOE25'!J204+'DOE25'!J222+'DOE25'!J240</f>
        <v>3854</v>
      </c>
      <c r="G12" s="53">
        <f>'DOE25'!K204+'DOE25'!K222+'DOE25'!K240</f>
        <v>4009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2490977</v>
      </c>
      <c r="D14" s="20">
        <f>'DOE25'!L206+'DOE25'!L224+'DOE25'!L242-F14-G14</f>
        <v>2483188</v>
      </c>
      <c r="E14" s="243"/>
      <c r="F14" s="255">
        <f>'DOE25'!J206+'DOE25'!J224+'DOE25'!J242</f>
        <v>7789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901987</v>
      </c>
      <c r="D15" s="20">
        <f>'DOE25'!L207+'DOE25'!L225+'DOE25'!L243-F15-G15</f>
        <v>884488</v>
      </c>
      <c r="E15" s="243"/>
      <c r="F15" s="255">
        <f>'DOE25'!J207+'DOE25'!J225+'DOE25'!J243</f>
        <v>17499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280</v>
      </c>
      <c r="D16" s="243"/>
      <c r="E16" s="20">
        <f>'DOE25'!L208+'DOE25'!L226+'DOE25'!L244-F16-G16</f>
        <v>0</v>
      </c>
      <c r="F16" s="255">
        <f>'DOE25'!J208+'DOE25'!J226+'DOE25'!J244</f>
        <v>280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394350</v>
      </c>
      <c r="D25" s="243"/>
      <c r="E25" s="243"/>
      <c r="F25" s="258"/>
      <c r="G25" s="256"/>
      <c r="H25" s="257">
        <f>'DOE25'!L259+'DOE25'!L260+'DOE25'!L340+'DOE25'!L341</f>
        <v>394350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278149</v>
      </c>
      <c r="D29" s="20">
        <f>'DOE25'!L357+'DOE25'!L358+'DOE25'!L359-'DOE25'!I366-F29-G29</f>
        <v>278741</v>
      </c>
      <c r="E29" s="243"/>
      <c r="F29" s="255">
        <f>'DOE25'!J357+'DOE25'!J358+'DOE25'!J359</f>
        <v>-699</v>
      </c>
      <c r="G29" s="53">
        <f>'DOE25'!K357+'DOE25'!K358+'DOE25'!K359</f>
        <v>107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2130270</v>
      </c>
      <c r="D31" s="20">
        <f>'DOE25'!L289+'DOE25'!L308+'DOE25'!L327+'DOE25'!L332+'DOE25'!L333+'DOE25'!L334-F31-G31</f>
        <v>2038995</v>
      </c>
      <c r="E31" s="243"/>
      <c r="F31" s="255">
        <f>'DOE25'!J289+'DOE25'!J308+'DOE25'!J327+'DOE25'!J332+'DOE25'!J333+'DOE25'!J334</f>
        <v>34273</v>
      </c>
      <c r="G31" s="53">
        <f>'DOE25'!K289+'DOE25'!K308+'DOE25'!K327+'DOE25'!K332+'DOE25'!K333+'DOE25'!K334</f>
        <v>57002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28799959</v>
      </c>
      <c r="E33" s="246">
        <f>SUM(E5:E31)</f>
        <v>1012458</v>
      </c>
      <c r="F33" s="246">
        <f>SUM(F5:F31)</f>
        <v>366870</v>
      </c>
      <c r="G33" s="246">
        <f>SUM(G5:G31)</f>
        <v>84271</v>
      </c>
      <c r="H33" s="246">
        <f>SUM(H5:H31)</f>
        <v>394350</v>
      </c>
    </row>
    <row r="35" spans="2:8" ht="12" thickBot="1" x14ac:dyDescent="0.25">
      <c r="B35" s="253" t="s">
        <v>847</v>
      </c>
      <c r="D35" s="254">
        <f>E33</f>
        <v>1012458</v>
      </c>
      <c r="E35" s="249"/>
    </row>
    <row r="36" spans="2:8" ht="12" thickTop="1" x14ac:dyDescent="0.2">
      <c r="B36" t="s">
        <v>815</v>
      </c>
      <c r="D36" s="20">
        <f>D33</f>
        <v>28799959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Claremont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589809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604852</v>
      </c>
      <c r="D11" s="95">
        <f>'DOE25'!G12</f>
        <v>6016</v>
      </c>
      <c r="E11" s="95">
        <f>'DOE25'!H12</f>
        <v>33063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78962</v>
      </c>
      <c r="D12" s="95">
        <f>'DOE25'!G13</f>
        <v>116557</v>
      </c>
      <c r="E12" s="95">
        <f>'DOE25'!H13</f>
        <v>655232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39592</v>
      </c>
      <c r="D13" s="95">
        <f>'DOE25'!G14</f>
        <v>0</v>
      </c>
      <c r="E13" s="95">
        <f>'DOE25'!H14</f>
        <v>-2508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48447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322758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1684420</v>
      </c>
      <c r="D18" s="41">
        <f>SUM(D8:D17)</f>
        <v>122573</v>
      </c>
      <c r="E18" s="41">
        <f>SUM(E8:E17)</f>
        <v>685787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-176119</v>
      </c>
      <c r="D21" s="95">
        <f>'DOE25'!G22</f>
        <v>-30570</v>
      </c>
      <c r="E21" s="95">
        <f>'DOE25'!H22</f>
        <v>809896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2416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298153</v>
      </c>
      <c r="D23" s="95">
        <f>'DOE25'!G24</f>
        <v>15015</v>
      </c>
      <c r="E23" s="95">
        <f>'DOE25'!H24</f>
        <v>-29505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1651</v>
      </c>
      <c r="D28" s="95">
        <f>'DOE25'!G29</f>
        <v>0</v>
      </c>
      <c r="E28" s="95">
        <f>'DOE25'!H29</f>
        <v>11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501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686</v>
      </c>
      <c r="D30" s="95">
        <f>'DOE25'!G31</f>
        <v>0</v>
      </c>
      <c r="E30" s="95">
        <f>'DOE25'!H31</f>
        <v>197429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124371</v>
      </c>
      <c r="D31" s="41">
        <f>SUM(D21:D30)</f>
        <v>-13139</v>
      </c>
      <c r="E31" s="41">
        <f>SUM(E21:E30)</f>
        <v>978332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48447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322758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523502</v>
      </c>
      <c r="D46" s="95">
        <f>'DOE25'!G47</f>
        <v>135712</v>
      </c>
      <c r="E46" s="95">
        <f>'DOE25'!H47</f>
        <v>-292545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130611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534731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1560049</v>
      </c>
      <c r="D49" s="41">
        <f>SUM(D34:D48)</f>
        <v>135712</v>
      </c>
      <c r="E49" s="41">
        <f>SUM(E34:E48)</f>
        <v>-292545</v>
      </c>
      <c r="F49" s="41">
        <f>SUM(F34:F48)</f>
        <v>0</v>
      </c>
      <c r="G49" s="41">
        <f>SUM(G34:G48)</f>
        <v>0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1684420</v>
      </c>
      <c r="D50" s="41">
        <f>D49+D31</f>
        <v>122573</v>
      </c>
      <c r="E50" s="41">
        <f>E49+E31</f>
        <v>685787</v>
      </c>
      <c r="F50" s="41">
        <f>F49+F31</f>
        <v>0</v>
      </c>
      <c r="G50" s="41">
        <f>G49+G31</f>
        <v>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12703937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888721</v>
      </c>
      <c r="D56" s="24" t="s">
        <v>289</v>
      </c>
      <c r="E56" s="95">
        <f>'DOE25'!H78</f>
        <v>13207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8922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72311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174711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145962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1115916</v>
      </c>
      <c r="D61" s="130">
        <f>SUM(D56:D60)</f>
        <v>174711</v>
      </c>
      <c r="E61" s="130">
        <f>SUM(E56:E60)</f>
        <v>13207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13819853</v>
      </c>
      <c r="D62" s="22">
        <f>D55+D61</f>
        <v>174711</v>
      </c>
      <c r="E62" s="22">
        <f>E55+E61</f>
        <v>13207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12493163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1807138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14300301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99000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366172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16341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50598</v>
      </c>
      <c r="E76" s="95">
        <f>SUM('DOE25'!H130:H134)</f>
        <v>500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481513</v>
      </c>
      <c r="D77" s="130">
        <f>SUM(D71:D76)</f>
        <v>50598</v>
      </c>
      <c r="E77" s="130">
        <f>SUM(E71:E76)</f>
        <v>500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14781814</v>
      </c>
      <c r="D80" s="130">
        <f>SUM(D78:D79)+D77+D69</f>
        <v>50598</v>
      </c>
      <c r="E80" s="130">
        <f>SUM(E78:E79)+E77+E69</f>
        <v>500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3645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394918</v>
      </c>
      <c r="D87" s="95">
        <f>SUM('DOE25'!G152:G160)</f>
        <v>402123</v>
      </c>
      <c r="E87" s="95">
        <f>SUM('DOE25'!H152:H160)</f>
        <v>2105773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394918</v>
      </c>
      <c r="D90" s="131">
        <f>SUM(D84:D89)</f>
        <v>405768</v>
      </c>
      <c r="E90" s="131">
        <f>SUM(E84:E89)</f>
        <v>2105773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41000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41000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28996585</v>
      </c>
      <c r="D103" s="86">
        <f>D62+D80+D90+D102</f>
        <v>631077</v>
      </c>
      <c r="E103" s="86">
        <f>E62+E80+E90+E102</f>
        <v>2160480</v>
      </c>
      <c r="F103" s="86">
        <f>F62+F80+F90+F102</f>
        <v>0</v>
      </c>
      <c r="G103" s="86">
        <f>G62+G80+G102</f>
        <v>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10330730</v>
      </c>
      <c r="D108" s="24" t="s">
        <v>289</v>
      </c>
      <c r="E108" s="95">
        <f>('DOE25'!L275)+('DOE25'!L294)+('DOE25'!L313)</f>
        <v>84397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6943880</v>
      </c>
      <c r="D109" s="24" t="s">
        <v>289</v>
      </c>
      <c r="E109" s="95">
        <f>('DOE25'!L276)+('DOE25'!L295)+('DOE25'!L314)</f>
        <v>1227969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1517297</v>
      </c>
      <c r="D110" s="24" t="s">
        <v>289</v>
      </c>
      <c r="E110" s="95">
        <f>('DOE25'!L277)+('DOE25'!L296)+('DOE25'!L315)</f>
        <v>64847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392553</v>
      </c>
      <c r="D111" s="24" t="s">
        <v>289</v>
      </c>
      <c r="E111" s="95">
        <f>+('DOE25'!L278)+('DOE25'!L297)+('DOE25'!L316)</f>
        <v>157878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61957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19184460</v>
      </c>
      <c r="D114" s="86">
        <f>SUM(D108:D113)</f>
        <v>0</v>
      </c>
      <c r="E114" s="86">
        <f>SUM(E108:E113)</f>
        <v>1597048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1612097</v>
      </c>
      <c r="D117" s="24" t="s">
        <v>289</v>
      </c>
      <c r="E117" s="95">
        <f>+('DOE25'!L280)+('DOE25'!L299)+('DOE25'!L318)</f>
        <v>365374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624089</v>
      </c>
      <c r="D118" s="24" t="s">
        <v>289</v>
      </c>
      <c r="E118" s="95">
        <f>+('DOE25'!L281)+('DOE25'!L300)+('DOE25'!L319)</f>
        <v>81003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1312958</v>
      </c>
      <c r="D119" s="24" t="s">
        <v>289</v>
      </c>
      <c r="E119" s="95">
        <f>+('DOE25'!L282)+('DOE25'!L301)+('DOE25'!L320)</f>
        <v>65219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1706676</v>
      </c>
      <c r="D120" s="24" t="s">
        <v>289</v>
      </c>
      <c r="E120" s="95">
        <f>+('DOE25'!L283)+('DOE25'!L302)+('DOE25'!L321)</f>
        <v>2054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14092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2490977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901987</v>
      </c>
      <c r="D123" s="24" t="s">
        <v>289</v>
      </c>
      <c r="E123" s="95">
        <f>+('DOE25'!L286)+('DOE25'!L305)+('DOE25'!L324)</f>
        <v>5480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280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657361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8649064</v>
      </c>
      <c r="D127" s="86">
        <f>SUM(D117:D126)</f>
        <v>657361</v>
      </c>
      <c r="E127" s="86">
        <f>SUM(E117:E126)</f>
        <v>533222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330000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64350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41000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435350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28268874</v>
      </c>
      <c r="D144" s="86">
        <f>(D114+D127+D143)</f>
        <v>657361</v>
      </c>
      <c r="E144" s="86">
        <f>(E114+E127+E143)</f>
        <v>2130270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08/15/95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08/15/15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6600000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5.4257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1320000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1320000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330000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330000</v>
      </c>
    </row>
    <row r="158" spans="1:9" x14ac:dyDescent="0.2">
      <c r="A158" s="22" t="s">
        <v>35</v>
      </c>
      <c r="B158" s="137">
        <f>'DOE25'!F497</f>
        <v>990000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990000</v>
      </c>
    </row>
    <row r="159" spans="1:9" x14ac:dyDescent="0.2">
      <c r="A159" s="22" t="s">
        <v>36</v>
      </c>
      <c r="B159" s="137">
        <f>'DOE25'!F498</f>
        <v>83325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83325</v>
      </c>
    </row>
    <row r="160" spans="1:9" x14ac:dyDescent="0.2">
      <c r="A160" s="22" t="s">
        <v>37</v>
      </c>
      <c r="B160" s="137">
        <f>'DOE25'!F499</f>
        <v>1073325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1073325</v>
      </c>
    </row>
    <row r="161" spans="1:7" x14ac:dyDescent="0.2">
      <c r="A161" s="22" t="s">
        <v>38</v>
      </c>
      <c r="B161" s="137">
        <f>'DOE25'!F500</f>
        <v>330000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330000</v>
      </c>
    </row>
    <row r="162" spans="1:7" x14ac:dyDescent="0.2">
      <c r="A162" s="22" t="s">
        <v>39</v>
      </c>
      <c r="B162" s="137">
        <f>'DOE25'!F501</f>
        <v>46200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46200</v>
      </c>
    </row>
    <row r="163" spans="1:7" x14ac:dyDescent="0.2">
      <c r="A163" s="22" t="s">
        <v>246</v>
      </c>
      <c r="B163" s="137">
        <f>'DOE25'!F502</f>
        <v>376200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376200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Claremont SD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14606</v>
      </c>
    </row>
    <row r="5" spans="1:4" x14ac:dyDescent="0.2">
      <c r="B5" t="s">
        <v>704</v>
      </c>
      <c r="C5" s="179">
        <f>IF('DOE25'!G664+'DOE25'!G669=0,0,ROUND('DOE25'!G671,0))</f>
        <v>14213</v>
      </c>
    </row>
    <row r="6" spans="1:4" x14ac:dyDescent="0.2">
      <c r="B6" t="s">
        <v>62</v>
      </c>
      <c r="C6" s="179">
        <f>IF('DOE25'!H664+'DOE25'!H669=0,0,ROUND('DOE25'!H671,0))</f>
        <v>17288</v>
      </c>
    </row>
    <row r="7" spans="1:4" x14ac:dyDescent="0.2">
      <c r="B7" t="s">
        <v>705</v>
      </c>
      <c r="C7" s="179">
        <f>IF('DOE25'!I664+'DOE25'!I669=0,0,ROUND('DOE25'!I671,0))</f>
        <v>15394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10415127</v>
      </c>
      <c r="D10" s="182">
        <f>ROUND((C10/$C$28)*100,1)</f>
        <v>34.1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8171849</v>
      </c>
      <c r="D11" s="182">
        <f>ROUND((C11/$C$28)*100,1)</f>
        <v>26.8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1582144</v>
      </c>
      <c r="D12" s="182">
        <f>ROUND((C12/$C$28)*100,1)</f>
        <v>5.2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550431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1977471</v>
      </c>
      <c r="D15" s="182">
        <f t="shared" ref="D15:D27" si="0">ROUND((C15/$C$28)*100,1)</f>
        <v>6.5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705092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1378457</v>
      </c>
      <c r="D17" s="182">
        <f t="shared" si="0"/>
        <v>4.5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1708730</v>
      </c>
      <c r="D18" s="182">
        <f t="shared" si="0"/>
        <v>5.6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14092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2490977</v>
      </c>
      <c r="D20" s="182">
        <f t="shared" si="0"/>
        <v>8.1999999999999993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907467</v>
      </c>
      <c r="D21" s="182">
        <f t="shared" si="0"/>
        <v>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61957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ROUND('DOE25'!L260+'DOE25'!L341,0)</f>
        <v>64350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482650</v>
      </c>
      <c r="D27" s="182">
        <f t="shared" si="0"/>
        <v>1.6</v>
      </c>
    </row>
    <row r="28" spans="1:4" x14ac:dyDescent="0.2">
      <c r="B28" s="187" t="s">
        <v>723</v>
      </c>
      <c r="C28" s="180">
        <f>SUM(C10:C27)</f>
        <v>30510794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30510794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330000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12703937</v>
      </c>
      <c r="D35" s="182">
        <f t="shared" ref="D35:D40" si="1">ROUND((C35/$C$41)*100,1)</f>
        <v>40.200000000000003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1129123</v>
      </c>
      <c r="D36" s="182">
        <f t="shared" si="1"/>
        <v>3.6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14300301</v>
      </c>
      <c r="D37" s="182">
        <f t="shared" si="1"/>
        <v>45.3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532611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2906459</v>
      </c>
      <c r="D39" s="182">
        <f t="shared" si="1"/>
        <v>9.1999999999999993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31572431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Claremont SD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2013-08-28T15:20:34Z</cp:lastPrinted>
  <dcterms:created xsi:type="dcterms:W3CDTF">1997-12-04T19:04:30Z</dcterms:created>
  <dcterms:modified xsi:type="dcterms:W3CDTF">2013-12-05T18:38:17Z</dcterms:modified>
</cp:coreProperties>
</file>