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71" i="1"/>
  <c r="G232" i="1"/>
  <c r="G196" i="1"/>
  <c r="F29" i="1"/>
  <c r="J590" i="1"/>
  <c r="C37" i="12"/>
  <c r="B38" i="12"/>
  <c r="B19" i="12"/>
  <c r="B20" i="12"/>
  <c r="B10" i="12"/>
  <c r="B11" i="12"/>
  <c r="F664" i="1"/>
  <c r="H532" i="1"/>
  <c r="H530" i="1"/>
  <c r="H525" i="1"/>
  <c r="F497" i="1"/>
  <c r="J467" i="1"/>
  <c r="G438" i="1"/>
  <c r="J425" i="1"/>
  <c r="H425" i="1"/>
  <c r="H399" i="1"/>
  <c r="H398" i="1"/>
  <c r="H395" i="1"/>
  <c r="H467" i="1" l="1"/>
  <c r="H160" i="1"/>
  <c r="H144" i="1"/>
  <c r="H154" i="1"/>
  <c r="H153" i="1"/>
  <c r="H13" i="1"/>
  <c r="J603" i="1"/>
  <c r="K284" i="1"/>
  <c r="J276" i="1"/>
  <c r="I281" i="1"/>
  <c r="I278" i="1"/>
  <c r="H281" i="1"/>
  <c r="H282" i="1"/>
  <c r="H278" i="1"/>
  <c r="G280" i="1"/>
  <c r="G276" i="1"/>
  <c r="G282" i="1"/>
  <c r="G275" i="1"/>
  <c r="G281" i="1"/>
  <c r="G278" i="1"/>
  <c r="F280" i="1" l="1"/>
  <c r="F276" i="1"/>
  <c r="F281" i="1"/>
  <c r="F275" i="1"/>
  <c r="F282" i="1"/>
  <c r="F278" i="1"/>
  <c r="I540" i="1" l="1"/>
  <c r="H540" i="1"/>
  <c r="F525" i="1"/>
  <c r="G525" i="1"/>
  <c r="I525" i="1"/>
  <c r="K525" i="1"/>
  <c r="I520" i="1"/>
  <c r="H520" i="1"/>
  <c r="G520" i="1"/>
  <c r="F520" i="1"/>
  <c r="I357" i="1" l="1"/>
  <c r="H359" i="1"/>
  <c r="H357" i="1"/>
  <c r="F367" i="1"/>
  <c r="F199" i="1"/>
  <c r="F197" i="1"/>
  <c r="G201" i="1"/>
  <c r="G199" i="1"/>
  <c r="K237" i="1"/>
  <c r="K235" i="1"/>
  <c r="J237" i="1"/>
  <c r="I243" i="1"/>
  <c r="I238" i="1"/>
  <c r="I237" i="1"/>
  <c r="I235" i="1"/>
  <c r="I232" i="1"/>
  <c r="H243" i="1"/>
  <c r="H240" i="1"/>
  <c r="H239" i="1"/>
  <c r="H238" i="1"/>
  <c r="H237" i="1"/>
  <c r="H235" i="1"/>
  <c r="H233" i="1"/>
  <c r="G239" i="1"/>
  <c r="G238" i="1"/>
  <c r="G237" i="1"/>
  <c r="G235" i="1"/>
  <c r="G233" i="1"/>
  <c r="F235" i="1"/>
  <c r="F238" i="1"/>
  <c r="F237" i="1"/>
  <c r="F233" i="1"/>
  <c r="K207" i="1"/>
  <c r="K202" i="1"/>
  <c r="K201" i="1"/>
  <c r="K197" i="1"/>
  <c r="J201" i="1"/>
  <c r="J197" i="1"/>
  <c r="I204" i="1"/>
  <c r="I203" i="1"/>
  <c r="I202" i="1"/>
  <c r="I201" i="1"/>
  <c r="H207" i="1"/>
  <c r="H203" i="1"/>
  <c r="H202" i="1"/>
  <c r="H201" i="1"/>
  <c r="H197" i="1"/>
  <c r="G202" i="1"/>
  <c r="G197" i="1"/>
  <c r="F207" i="1"/>
  <c r="F204" i="1"/>
  <c r="F203" i="1"/>
  <c r="F202" i="1"/>
  <c r="F201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E13" i="13" s="1"/>
  <c r="C13" i="13" s="1"/>
  <c r="L241" i="1"/>
  <c r="F16" i="13"/>
  <c r="G16" i="13"/>
  <c r="L208" i="1"/>
  <c r="C17" i="10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D17" i="13" s="1"/>
  <c r="C17" i="13" s="1"/>
  <c r="F18" i="13"/>
  <c r="G18" i="13"/>
  <c r="D18" i="13" s="1"/>
  <c r="C18" i="13" s="1"/>
  <c r="L251" i="1"/>
  <c r="F19" i="13"/>
  <c r="G19" i="13"/>
  <c r="L252" i="1"/>
  <c r="D19" i="13" s="1"/>
  <c r="C19" i="13" s="1"/>
  <c r="F29" i="13"/>
  <c r="G29" i="13"/>
  <c r="L358" i="1"/>
  <c r="L359" i="1"/>
  <c r="I366" i="1"/>
  <c r="J289" i="1"/>
  <c r="J308" i="1"/>
  <c r="J327" i="1"/>
  <c r="K289" i="1"/>
  <c r="K308" i="1"/>
  <c r="K327" i="1"/>
  <c r="L275" i="1"/>
  <c r="L276" i="1"/>
  <c r="L277" i="1"/>
  <c r="C12" i="10" s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C40" i="10"/>
  <c r="F59" i="1"/>
  <c r="G59" i="1"/>
  <c r="H59" i="1"/>
  <c r="I59" i="1"/>
  <c r="F78" i="1"/>
  <c r="F93" i="1"/>
  <c r="F110" i="1"/>
  <c r="G110" i="1"/>
  <c r="G111" i="1" s="1"/>
  <c r="H78" i="1"/>
  <c r="E56" i="2" s="1"/>
  <c r="E61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J139" i="1" s="1"/>
  <c r="F146" i="1"/>
  <c r="F161" i="1"/>
  <c r="G146" i="1"/>
  <c r="G161" i="1"/>
  <c r="H146" i="1"/>
  <c r="H161" i="1"/>
  <c r="H168" i="1" s="1"/>
  <c r="I146" i="1"/>
  <c r="I161" i="1"/>
  <c r="C15" i="10"/>
  <c r="C19" i="10"/>
  <c r="L249" i="1"/>
  <c r="L331" i="1"/>
  <c r="L253" i="1"/>
  <c r="L267" i="1"/>
  <c r="L268" i="1"/>
  <c r="L348" i="1"/>
  <c r="L349" i="1"/>
  <c r="E142" i="2" s="1"/>
  <c r="I664" i="1"/>
  <c r="I669" i="1"/>
  <c r="L228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L526" i="1"/>
  <c r="G549" i="1" s="1"/>
  <c r="L527" i="1"/>
  <c r="G550" i="1" s="1"/>
  <c r="L530" i="1"/>
  <c r="H548" i="1" s="1"/>
  <c r="L531" i="1"/>
  <c r="H549" i="1" s="1"/>
  <c r="H551" i="1" s="1"/>
  <c r="L532" i="1"/>
  <c r="H550" i="1" s="1"/>
  <c r="L535" i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D31" i="2" s="1"/>
  <c r="E21" i="2"/>
  <c r="F21" i="2"/>
  <c r="F31" i="2" s="1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E50" i="2" s="1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D90" i="2" s="1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09" i="2"/>
  <c r="C110" i="2"/>
  <c r="C111" i="2"/>
  <c r="E111" i="2"/>
  <c r="C112" i="2"/>
  <c r="C113" i="2"/>
  <c r="D114" i="2"/>
  <c r="F114" i="2"/>
  <c r="G114" i="2"/>
  <c r="C117" i="2"/>
  <c r="C118" i="2"/>
  <c r="E118" i="2"/>
  <c r="C119" i="2"/>
  <c r="C120" i="2"/>
  <c r="E120" i="2"/>
  <c r="C121" i="2"/>
  <c r="C122" i="2"/>
  <c r="E122" i="2"/>
  <c r="C123" i="2"/>
  <c r="C124" i="2"/>
  <c r="E124" i="2"/>
  <c r="F127" i="2"/>
  <c r="G127" i="2"/>
  <c r="C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F191" i="1" s="1"/>
  <c r="I176" i="1"/>
  <c r="F182" i="1"/>
  <c r="G182" i="1"/>
  <c r="H182" i="1"/>
  <c r="I182" i="1"/>
  <c r="J182" i="1"/>
  <c r="F187" i="1"/>
  <c r="G187" i="1"/>
  <c r="G191" i="1" s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G475" i="1" s="1"/>
  <c r="H622" i="1" s="1"/>
  <c r="H469" i="1"/>
  <c r="I469" i="1"/>
  <c r="I475" i="1" s="1"/>
  <c r="H624" i="1" s="1"/>
  <c r="J624" i="1" s="1"/>
  <c r="J469" i="1"/>
  <c r="F473" i="1"/>
  <c r="G473" i="1"/>
  <c r="H473" i="1"/>
  <c r="H475" i="1" s="1"/>
  <c r="H623" i="1" s="1"/>
  <c r="I473" i="1"/>
  <c r="J473" i="1"/>
  <c r="J475" i="1" s="1"/>
  <c r="H625" i="1" s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J544" i="1" s="1"/>
  <c r="K533" i="1"/>
  <c r="L533" i="1"/>
  <c r="F538" i="1"/>
  <c r="G538" i="1"/>
  <c r="G544" i="1" s="1"/>
  <c r="H538" i="1"/>
  <c r="I538" i="1"/>
  <c r="I544" i="1" s="1"/>
  <c r="J538" i="1"/>
  <c r="K538" i="1"/>
  <c r="F543" i="1"/>
  <c r="G543" i="1"/>
  <c r="H543" i="1"/>
  <c r="I543" i="1"/>
  <c r="J543" i="1"/>
  <c r="K543" i="1"/>
  <c r="L556" i="1"/>
  <c r="L557" i="1"/>
  <c r="L559" i="1" s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J633" i="1" s="1"/>
  <c r="H634" i="1"/>
  <c r="H635" i="1"/>
  <c r="H636" i="1"/>
  <c r="H637" i="1"/>
  <c r="G638" i="1"/>
  <c r="H638" i="1"/>
  <c r="J638" i="1" s="1"/>
  <c r="G640" i="1"/>
  <c r="H640" i="1"/>
  <c r="H641" i="1"/>
  <c r="G642" i="1"/>
  <c r="H642" i="1"/>
  <c r="J642" i="1" s="1"/>
  <c r="G643" i="1"/>
  <c r="H643" i="1"/>
  <c r="H644" i="1"/>
  <c r="G648" i="1"/>
  <c r="J648" i="1" s="1"/>
  <c r="G650" i="1"/>
  <c r="J650" i="1" s="1"/>
  <c r="G651" i="1"/>
  <c r="H651" i="1"/>
  <c r="G652" i="1"/>
  <c r="H652" i="1"/>
  <c r="G653" i="1"/>
  <c r="H653" i="1"/>
  <c r="H654" i="1"/>
  <c r="K256" i="1"/>
  <c r="K270" i="1" s="1"/>
  <c r="G159" i="2"/>
  <c r="L327" i="1"/>
  <c r="A31" i="12"/>
  <c r="A40" i="12"/>
  <c r="G161" i="2"/>
  <c r="E49" i="2"/>
  <c r="D15" i="13"/>
  <c r="C15" i="13" s="1"/>
  <c r="F102" i="2"/>
  <c r="E18" i="2"/>
  <c r="D6" i="13"/>
  <c r="C6" i="13" s="1"/>
  <c r="C90" i="2"/>
  <c r="G80" i="2"/>
  <c r="F77" i="2"/>
  <c r="F80" i="2" s="1"/>
  <c r="C77" i="2"/>
  <c r="C80" i="2" s="1"/>
  <c r="F18" i="2"/>
  <c r="G155" i="2"/>
  <c r="G102" i="2"/>
  <c r="C102" i="2"/>
  <c r="F90" i="2"/>
  <c r="C61" i="2"/>
  <c r="C62" i="2" s="1"/>
  <c r="D14" i="13"/>
  <c r="C14" i="13" s="1"/>
  <c r="J616" i="1"/>
  <c r="E77" i="2"/>
  <c r="L426" i="1"/>
  <c r="J256" i="1"/>
  <c r="J270" i="1" s="1"/>
  <c r="H111" i="1"/>
  <c r="J640" i="1"/>
  <c r="K604" i="1"/>
  <c r="G647" i="1" s="1"/>
  <c r="K570" i="1"/>
  <c r="L418" i="1"/>
  <c r="I168" i="1"/>
  <c r="F475" i="1"/>
  <c r="H621" i="1" s="1"/>
  <c r="J621" i="1" s="1"/>
  <c r="F168" i="1"/>
  <c r="F570" i="1"/>
  <c r="H256" i="1"/>
  <c r="H270" i="1" s="1"/>
  <c r="K549" i="1"/>
  <c r="K597" i="1"/>
  <c r="G646" i="1" s="1"/>
  <c r="J551" i="1"/>
  <c r="C29" i="10"/>
  <c r="L400" i="1"/>
  <c r="C138" i="2" s="1"/>
  <c r="A13" i="12"/>
  <c r="H25" i="13"/>
  <c r="C25" i="13" s="1"/>
  <c r="H570" i="1"/>
  <c r="H337" i="1"/>
  <c r="H351" i="1" s="1"/>
  <c r="F337" i="1"/>
  <c r="F351" i="1" s="1"/>
  <c r="H191" i="1"/>
  <c r="F551" i="1"/>
  <c r="C35" i="10"/>
  <c r="L308" i="1"/>
  <c r="D5" i="13"/>
  <c r="C5" i="13" s="1"/>
  <c r="E16" i="13"/>
  <c r="C49" i="2"/>
  <c r="J654" i="1"/>
  <c r="L569" i="1"/>
  <c r="I570" i="1"/>
  <c r="G36" i="2"/>
  <c r="L564" i="1"/>
  <c r="H544" i="1"/>
  <c r="K550" i="1"/>
  <c r="C16" i="13"/>
  <c r="H33" i="13"/>
  <c r="G256" i="1" l="1"/>
  <c r="G270" i="1" s="1"/>
  <c r="C114" i="2"/>
  <c r="J639" i="1"/>
  <c r="D49" i="2"/>
  <c r="J570" i="1"/>
  <c r="L543" i="1"/>
  <c r="K544" i="1"/>
  <c r="L523" i="1"/>
  <c r="C127" i="2"/>
  <c r="E102" i="2"/>
  <c r="D61" i="2"/>
  <c r="D62" i="2" s="1"/>
  <c r="C26" i="10"/>
  <c r="C23" i="10"/>
  <c r="E112" i="2"/>
  <c r="J623" i="1"/>
  <c r="L432" i="1"/>
  <c r="L336" i="1"/>
  <c r="G337" i="1"/>
  <c r="G351" i="1" s="1"/>
  <c r="L255" i="1"/>
  <c r="I256" i="1"/>
  <c r="I270" i="1" s="1"/>
  <c r="J191" i="1"/>
  <c r="G644" i="1"/>
  <c r="J644" i="1" s="1"/>
  <c r="C163" i="2"/>
  <c r="G163" i="2" s="1"/>
  <c r="K502" i="1"/>
  <c r="G162" i="2"/>
  <c r="G158" i="2"/>
  <c r="G157" i="2"/>
  <c r="F49" i="2"/>
  <c r="F50" i="2" s="1"/>
  <c r="D18" i="2"/>
  <c r="C18" i="2"/>
  <c r="I548" i="1"/>
  <c r="I551" i="1" s="1"/>
  <c r="L538" i="1"/>
  <c r="G548" i="1"/>
  <c r="L528" i="1"/>
  <c r="E62" i="2"/>
  <c r="F111" i="1"/>
  <c r="F662" i="1"/>
  <c r="L613" i="1"/>
  <c r="L392" i="1"/>
  <c r="C137" i="2" s="1"/>
  <c r="E129" i="2"/>
  <c r="E143" i="2" s="1"/>
  <c r="F22" i="13"/>
  <c r="C22" i="13" s="1"/>
  <c r="L350" i="1"/>
  <c r="E113" i="2"/>
  <c r="E123" i="2"/>
  <c r="E121" i="2"/>
  <c r="E119" i="2"/>
  <c r="E117" i="2"/>
  <c r="E110" i="2"/>
  <c r="E108" i="2"/>
  <c r="L289" i="1"/>
  <c r="G661" i="1"/>
  <c r="I661" i="1" s="1"/>
  <c r="H646" i="1"/>
  <c r="J646" i="1" s="1"/>
  <c r="G649" i="1"/>
  <c r="C20" i="10"/>
  <c r="C18" i="10"/>
  <c r="D12" i="13"/>
  <c r="C12" i="13" s="1"/>
  <c r="C16" i="10"/>
  <c r="D7" i="13"/>
  <c r="C7" i="13" s="1"/>
  <c r="L246" i="1"/>
  <c r="H659" i="1" s="1"/>
  <c r="C13" i="10"/>
  <c r="C11" i="10"/>
  <c r="L210" i="1"/>
  <c r="E80" i="2"/>
  <c r="L381" i="1"/>
  <c r="G635" i="1" s="1"/>
  <c r="J635" i="1" s="1"/>
  <c r="J337" i="1"/>
  <c r="J351" i="1" s="1"/>
  <c r="E114" i="2"/>
  <c r="C31" i="2"/>
  <c r="G61" i="2"/>
  <c r="J622" i="1"/>
  <c r="J643" i="1"/>
  <c r="C50" i="2"/>
  <c r="K337" i="1"/>
  <c r="K351" i="1" s="1"/>
  <c r="L544" i="1"/>
  <c r="E8" i="13"/>
  <c r="C8" i="13" s="1"/>
  <c r="C10" i="10"/>
  <c r="E33" i="13"/>
  <c r="D35" i="13" s="1"/>
  <c r="L256" i="1"/>
  <c r="L270" i="1" s="1"/>
  <c r="G631" i="1" s="1"/>
  <c r="J631" i="1" s="1"/>
  <c r="L337" i="1"/>
  <c r="L351" i="1" s="1"/>
  <c r="G632" i="1" s="1"/>
  <c r="J632" i="1" s="1"/>
  <c r="C24" i="10"/>
  <c r="G659" i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E127" i="2" l="1"/>
  <c r="E144" i="2" s="1"/>
  <c r="K548" i="1"/>
  <c r="K551" i="1" s="1"/>
  <c r="G551" i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C41" i="10" l="1"/>
  <c r="D38" i="10" s="1"/>
  <c r="D37" i="10" l="1"/>
  <c r="D36" i="10"/>
  <c r="D35" i="10"/>
  <c r="D40" i="10"/>
  <c r="D39" i="10"/>
  <c r="D41" i="10" l="1"/>
  <c r="C5" i="10"/>
  <c r="H361" i="1"/>
  <c r="L357" i="1"/>
  <c r="H660" i="1" s="1"/>
  <c r="H663" i="1" s="1"/>
  <c r="H666" i="1" l="1"/>
  <c r="H671" i="1"/>
  <c r="C6" i="10" s="1"/>
  <c r="F660" i="1"/>
  <c r="D29" i="13"/>
  <c r="G660" i="1"/>
  <c r="G663" i="1" s="1"/>
  <c r="D126" i="2"/>
  <c r="D127" i="2" s="1"/>
  <c r="D144" i="2" s="1"/>
  <c r="L361" i="1"/>
  <c r="F659" i="1"/>
  <c r="F663" i="1" l="1"/>
  <c r="I659" i="1"/>
  <c r="C29" i="13"/>
  <c r="D33" i="13"/>
  <c r="D36" i="13" s="1"/>
  <c r="G634" i="1"/>
  <c r="C27" i="10"/>
  <c r="G671" i="1"/>
  <c r="G666" i="1"/>
  <c r="I660" i="1"/>
  <c r="C28" i="10" l="1"/>
  <c r="D27" i="10" s="1"/>
  <c r="I663" i="1"/>
  <c r="J634" i="1"/>
  <c r="H655" i="1"/>
  <c r="F666" i="1"/>
  <c r="F671" i="1"/>
  <c r="C4" i="10" s="1"/>
  <c r="I666" i="1" l="1"/>
  <c r="I671" i="1"/>
  <c r="C7" i="10" s="1"/>
  <c r="D21" i="10"/>
  <c r="D13" i="10"/>
  <c r="D15" i="10"/>
  <c r="D19" i="10"/>
  <c r="D11" i="10"/>
  <c r="D23" i="10"/>
  <c r="D18" i="10"/>
  <c r="D12" i="10"/>
  <c r="D10" i="10"/>
  <c r="D26" i="10"/>
  <c r="D22" i="10"/>
  <c r="D20" i="10"/>
  <c r="D25" i="10"/>
  <c r="D24" i="10"/>
  <c r="D16" i="10"/>
  <c r="C30" i="10"/>
  <c r="D1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<sst xmlns="http://schemas.openxmlformats.org/spreadsheetml/2006/main" count="3946" uniqueCount="912">
  <si>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</si>
  <si>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</si>
  <si>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</si>
  <si>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</si>
  <si>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</si>
  <si>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</si>
  <si>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</si>
  <si>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</si>
  <si>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</si>
  <si>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</si>
  <si>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</si>
  <si>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</si>
  <si>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</si>
  <si>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</si>
  <si>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</si>
  <si>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</si>
  <si>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</si>
  <si>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</si>
  <si>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</si>
  <si>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</si>
  <si>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</si>
  <si>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</si>
  <si>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</si>
  <si>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</si>
  <si>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</si>
  <si>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</si>
  <si>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</si>
  <si>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</si>
  <si>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</si>
  <si>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</si>
  <si>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</si>
  <si>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</si>
  <si>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</si>
  <si>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</si>
  <si>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</si>
  <si>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</si>
  <si>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</si>
  <si>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</si>
  <si>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</si>
  <si>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</si>
  <si>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</si>
  <si>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</si>
  <si>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</si>
  <si>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</si>
  <si>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</si>
  <si>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</si>
  <si>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</si>
  <si>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</si>
  <si>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</si>
  <si>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</si>
  <si>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</si>
  <si>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</si>
  <si>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</si>
  <si>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</si>
  <si>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</si>
  <si>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</si>
  <si>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</si>
  <si>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</si>
  <si>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</si>
  <si>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</si>
  <si>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</si>
  <si>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</si>
  <si>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</si>
  <si>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</si>
  <si>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</si>
  <si>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</si>
  <si>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</si>
  <si>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</si>
  <si>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</si>
  <si>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</si>
  <si>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</si>
  <si>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</si>
  <si>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</si>
  <si>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</si>
  <si>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</si>
  <si>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</si>
  <si>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</si>
  <si>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</si>
  <si>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</si>
  <si>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</si>
  <si>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</si>
  <si>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</si>
  <si>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</si>
  <si>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</si>
  <si>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</si>
  <si>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</si>
  <si>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</si>
  <si>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</si>
  <si>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</si>
  <si>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</si>
  <si>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</si>
  <si>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</si>
  <si>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</si>
  <si>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</si>
  <si>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</si>
  <si>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</si>
  <si>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</si>
  <si>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</si>
  <si>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</si>
  <si>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</si>
  <si>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</si>
  <si>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</si>
  <si>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</si>
  <si>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</si>
  <si>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</si>
  <si>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</si>
  <si>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</si>
  <si>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</si>
  <si>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</si>
  <si>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</si>
  <si>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</si>
  <si>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</si>
  <si>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</si>
  <si>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</si>
  <si>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</si>
  <si>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</si>
  <si>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</si>
  <si>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</si>
  <si>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</si>
  <si>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</si>
  <si>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</si>
  <si>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</si>
  <si>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</si>
  <si>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</si>
  <si>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</si>
  <si>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</si>
  <si>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</si>
  <si>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</si>
  <si>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</si>
  <si>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</si>
  <si>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</si>
  <si>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</si>
  <si>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</si>
  <si>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</si>
  <si>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</si>
  <si>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</si>
  <si>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</si>
  <si>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</si>
  <si>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</si>
  <si>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</si>
  <si>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</si>
  <si>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</si>
  <si>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</si>
  <si>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</si>
  <si>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</si>
  <si>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</si>
  <si>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</si>
  <si>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</si>
  <si>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</si>
  <si>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</si>
  <si>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</si>
  <si>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</si>
  <si>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</si>
  <si>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</si>
  <si>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</si>
  <si>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</si>
  <si>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</si>
  <si>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</si>
  <si>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</si>
  <si>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</si>
  <si>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</si>
  <si>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</si>
  <si>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</si>
  <si>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</si>
  <si>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</si>
  <si>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</si>
  <si>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</si>
  <si>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</si>
  <si>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</si>
  <si>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</si>
  <si>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</si>
  <si>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</si>
  <si>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</si>
  <si>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</si>
  <si>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</si>
  <si>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</si>
  <si>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</si>
  <si>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</si>
  <si>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</si>
  <si>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</si>
  <si>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</si>
  <si>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</si>
  <si>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</si>
  <si>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</si>
  <si>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</si>
  <si>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</si>
  <si>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</si>
  <si>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</si>
  <si>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</si>
  <si>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</si>
  <si>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</si>
  <si>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</si>
  <si>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</si>
  <si>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</si>
  <si>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</si>
  <si>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</si>
  <si>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</si>
  <si>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</si>
  <si>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</si>
  <si>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</si>
  <si>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</si>
  <si>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</si>
  <si>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</si>
  <si>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</si>
  <si>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</si>
  <si>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</si>
  <si>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</si>
  <si>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</si>
  <si>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</si>
  <si>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</si>
  <si>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</si>
  <si>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</si>
  <si>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</si>
  <si>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</si>
  <si>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</si>
  <si>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</si>
  <si>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</si>
  <si>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</si>
  <si>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</si>
  <si>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</si>
  <si>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</si>
  <si>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</si>
  <si>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</si>
  <si>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</si>
  <si>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</si>
  <si>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</si>
  <si>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</si>
  <si>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</si>
  <si>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</si>
  <si>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</si>
  <si>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</si>
  <si>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</si>
  <si>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</si>
  <si>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</si>
  <si>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</si>
  <si>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</si>
  <si>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</si>
  <si>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</si>
  <si>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</si>
  <si>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</si>
  <si>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</si>
  <si>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</si>
  <si>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</si>
  <si>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</si>
  <si>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</si>
  <si>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</si>
  <si>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</si>
  <si>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</si>
  <si>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</si>
  <si>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</si>
  <si>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</si>
  <si>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</si>
  <si>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</si>
  <si>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</si>
  <si>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</si>
  <si>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</si>
  <si>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</si>
  <si>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</si>
  <si>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</si>
  <si>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</si>
  <si>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</si>
  <si>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</si>
  <si>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</si>
  <si>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</si>
  <si>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</si>
  <si>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</si>
  <si>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</si>
  <si>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</si>
  <si>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</si>
  <si>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</si>
  <si>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</si>
  <si>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</si>
  <si>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</si>
  <si>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</si>
  <si>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</si>
  <si>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</si>
  <si>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</si>
  <si>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</si>
  <si>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</si>
  <si>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</si>
  <si>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</si>
  <si>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</si>
  <si>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</si>
  <si>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</si>
  <si>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</si>
  <si>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</si>
  <si>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</si>
  <si>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</si>
  <si>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</si>
  <si>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</si>
  <si>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</si>
  <si>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</si>
  <si>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</si>
  <si>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</si>
  <si>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</si>
  <si>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</si>
  <si>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</si>
  <si>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</si>
  <si>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</si>
  <si>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</si>
  <si>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</si>
  <si>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</si>
  <si>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</si>
  <si>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</si>
  <si>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</si>
  <si>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</si>
  <si>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</si>
  <si>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</si>
  <si>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</si>
  <si>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</si>
  <si>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</si>
  <si>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</si>
  <si>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</si>
  <si>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</si>
  <si>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</si>
  <si>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</si>
  <si>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</si>
  <si>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</si>
  <si>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</si>
  <si>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</si>
  <si>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</si>
  <si>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</si>
  <si>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</si>
  <si>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</si>
  <si>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</si>
  <si>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</si>
  <si>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</si>
  <si>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</si>
  <si>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</si>
  <si>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</si>
  <si>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</si>
  <si>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</si>
  <si>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</si>
  <si>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</si>
  <si>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</si>
  <si>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</si>
  <si>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</si>
  <si>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</si>
  <si>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</si>
  <si>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</si>
  <si>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</si>
  <si>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</si>
  <si>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</si>
  <si>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</si>
  <si>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</si>
  <si>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</si>
  <si>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</si>
  <si>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</si>
  <si>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</si>
  <si>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</si>
  <si>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</si>
  <si>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</si>
  <si>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</si>
  <si>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</si>
  <si>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</si>
  <si>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</si>
  <si>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</si>
  <si>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</si>
  <si>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</si>
  <si>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</si>
  <si>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</si>
  <si>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</si>
  <si>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</si>
  <si>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</si>
  <si>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</si>
  <si>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</si>
  <si>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</si>
  <si>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</si>
  <si>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</si>
  <si>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</si>
  <si>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</si>
  <si>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</si>
  <si>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</si>
  <si>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</si>
  <si>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</si>
  <si>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</si>
  <si>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</si>
  <si>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</si>
  <si>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</si>
  <si>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</si>
  <si>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</si>
  <si>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</si>
  <si>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</si>
  <si>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</si>
  <si>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</si>
  <si>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</si>
  <si>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</si>
  <si>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</si>
  <si>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</si>
  <si>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</si>
  <si>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</si>
  <si>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</si>
  <si>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</si>
  <si>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</si>
  <si>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</si>
  <si>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</si>
  <si>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</si>
  <si>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</si>
  <si>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</si>
  <si>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</si>
  <si>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</si>
  <si>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</si>
  <si>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</si>
  <si>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</si>
  <si>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</si>
  <si>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</si>
  <si>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</si>
  <si>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</si>
  <si>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</si>
  <si>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</si>
  <si>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</si>
  <si>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</si>
  <si>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</si>
  <si>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</si>
  <si>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</si>
  <si>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</si>
  <si>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</si>
  <si>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</si>
  <si>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</si>
  <si>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</si>
  <si>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</si>
  <si>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</si>
  <si>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</si>
  <si>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</si>
  <si>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</si>
  <si>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</si>
  <si>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</si>
  <si>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</si>
  <si>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</si>
  <si>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</si>
  <si>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</si>
  <si>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</si>
  <si>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</si>
  <si>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</si>
  <si>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</si>
  <si>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</si>
  <si>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</si>
  <si>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</si>
  <si>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</si>
  <si>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</si>
  <si>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</si>
  <si>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</si>
  <si>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</si>
  <si>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</si>
  <si>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</si>
  <si>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</si>
  <si>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</si>
  <si>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</si>
  <si>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</si>
  <si>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</si>
  <si>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</si>
  <si>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</si>
  <si>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</si>
  <si>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</si>
  <si>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</si>
  <si>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</si>
  <si>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</si>
  <si>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</si>
  <si>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</si>
  <si>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</si>
  <si>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</si>
  <si>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</si>
  <si>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</si>
  <si>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</si>
  <si>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</si>
  <si>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</si>
  <si>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</si>
  <si>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</si>
  <si>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</si>
  <si>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</si>
  <si>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</si>
  <si>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</si>
  <si>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</si>
  <si>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</si>
  <si>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</si>
  <si>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</si>
  <si>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</si>
  <si>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</si>
  <si>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</si>
  <si>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</si>
  <si>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</si>
  <si>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</si>
  <si>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</si>
  <si>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</si>
  <si>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</si>
  <si>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</si>
  <si>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</si>
  <si>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</si>
  <si>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</si>
  <si>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</si>
  <si>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</si>
  <si>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</si>
  <si>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</si>
  <si>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</si>
  <si>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</si>
  <si>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</si>
  <si>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</si>
  <si>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</si>
  <si>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</si>
  <si>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</si>
  <si>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</si>
  <si>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</si>
  <si>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</si>
  <si>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</si>
  <si>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</si>
  <si>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</si>
  <si>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</si>
  <si>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</si>
  <si>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</si>
  <si>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</si>
  <si>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</si>
  <si>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</si>
  <si>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</si>
  <si>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</si>
  <si>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</si>
  <si>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</si>
  <si>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</si>
  <si>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</si>
  <si>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</si>
  <si>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</si>
  <si>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</si>
  <si>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</si>
  <si>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</si>
  <si>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</si>
  <si>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</si>
  <si>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</si>
  <si>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</si>
  <si>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</si>
  <si>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</si>
  <si>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</si>
  <si>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</si>
  <si>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</si>
  <si>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</si>
  <si>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</si>
  <si>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</si>
  <si>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</si>
  <si>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</si>
  <si>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</si>
  <si>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</si>
  <si>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</si>
  <si>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</si>
  <si>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</si>
  <si>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</si>
  <si>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</si>
  <si>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</si>
  <si>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</si>
  <si>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</si>
  <si>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</si>
  <si>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</si>
  <si>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</si>
  <si>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</si>
  <si>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</si>
  <si>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</si>
  <si>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</si>
  <si>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</si>
  <si>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</si>
  <si>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</si>
  <si>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</si>
  <si>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</si>
  <si>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</si>
  <si>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</si>
  <si>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</si>
  <si>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</si>
  <si>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</si>
  <si>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</si>
  <si>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</si>
  <si>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</si>
  <si>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</si>
  <si>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</si>
  <si>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</si>
  <si>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</si>
  <si>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</si>
  <si>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</si>
  <si>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</si>
  <si>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</si>
  <si>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</si>
  <si>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</si>
  <si>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</si>
  <si>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</si>
  <si>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</si>
  <si>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</si>
  <si>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</si>
  <si>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</si>
  <si>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</si>
  <si>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</si>
  <si>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</si>
  <si>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</si>
  <si>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</si>
  <si>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</si>
  <si>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</si>
  <si>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</si>
  <si>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</si>
  <si>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</si>
  <si>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</si>
  <si>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</si>
  <si>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</si>
  <si>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</si>
  <si>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</si>
  <si>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</si>
  <si>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</si>
  <si>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</si>
  <si>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</si>
  <si>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</si>
  <si>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</si>
  <si>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</si>
  <si>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</si>
  <si>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</si>
  <si>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</si>
  <si>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</si>
  <si>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</si>
  <si>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</si>
  <si>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</si>
  <si>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</si>
  <si>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</si>
  <si>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</si>
  <si>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</si>
  <si>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</si>
  <si>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</si>
  <si>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</si>
  <si>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</si>
  <si>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</si>
  <si>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</si>
  <si>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</si>
  <si>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</si>
  <si>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</si>
  <si>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</si>
  <si>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</si>
  <si>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</si>
  <si>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</si>
  <si>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</si>
  <si>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</si>
  <si>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</si>
  <si>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</si>
  <si>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</si>
  <si>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</si>
  <si>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</si>
  <si>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</si>
  <si>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</si>
  <si>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</si>
  <si>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</si>
  <si>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</si>
  <si>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</si>
  <si>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</si>
  <si>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</si>
  <si>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</si>
  <si>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</si>
  <si>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</si>
  <si>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</si>
  <si>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</si>
  <si>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</si>
  <si>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</si>
  <si>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</si>
  <si>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</si>
  <si>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</si>
  <si>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</si>
  <si>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</si>
  <si>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</si>
  <si>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</si>
  <si>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</si>
  <si>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</si>
  <si>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</si>
  <si>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</si>
  <si>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</si>
  <si>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</si>
  <si>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</si>
  <si>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</si>
  <si>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</si>
  <si>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</si>
  <si>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</si>
  <si>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</si>
  <si>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</si>
  <si>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</si>
  <si>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</si>
  <si>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</si>
  <si>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</si>
  <si>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</si>
  <si>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</si>
  <si>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</si>
  <si>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</si>
  <si>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</si>
  <si>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</si>
  <si>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</si>
  <si>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</si>
  <si>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</si>
  <si>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</si>
  <si>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</si>
  <si>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</si>
  <si>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</si>
  <si>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</si>
  <si>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</si>
  <si>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</si>
  <si>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</si>
  <si>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</si>
  <si>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</si>
  <si>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</si>
  <si>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</si>
  <si>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</si>
  <si>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</si>
  <si>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</si>
  <si>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</si>
  <si>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</si>
  <si>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</si>
  <si>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</si>
  <si>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</si>
  <si>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</si>
  <si>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</si>
  <si>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</si>
  <si>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</si>
  <si>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</si>
  <si>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</si>
  <si>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</si>
  <si>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</si>
  <si>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</si>
  <si>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</si>
  <si>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</si>
  <si>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</si>
  <si>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</si>
  <si>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</si>
  <si>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</si>
  <si>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</si>
  <si>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</si>
  <si>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</si>
  <si>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</si>
  <si>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</si>
  <si>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</si>
  <si>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</si>
  <si>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</si>
  <si>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</si>
  <si>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</si>
  <si>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</si>
  <si>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</si>
  <si>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</si>
  <si>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</si>
  <si>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</si>
  <si>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</si>
  <si>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</si>
  <si>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</si>
  <si>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</si>
  <si>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</si>
  <si>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</si>
  <si>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</si>
  <si>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</si>
  <si>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</si>
  <si>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</si>
  <si>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</si>
  <si>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</si>
  <si>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</si>
  <si>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</si>
  <si>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</si>
  <si>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</si>
  <si>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</si>
  <si>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</si>
  <si>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</si>
  <si>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</si>
  <si>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</si>
  <si>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</si>
  <si>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</si>
  <si>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</si>
  <si>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</si>
  <si>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</si>
  <si>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</si>
  <si>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</si>
  <si>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</si>
  <si>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</si>
  <si>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</si>
  <si>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</si>
  <si>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</si>
  <si>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</si>
  <si>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</si>
  <si>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</si>
  <si>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</si>
  <si>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</si>
  <si>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</si>
  <si>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</si>
  <si>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</si>
  <si>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</si>
  <si>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</si>
  <si>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</si>
  <si>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</si>
  <si>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</si>
  <si>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</si>
  <si>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</si>
  <si>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</si>
  <si>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</si>
  <si>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</si>
  <si>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</si>
  <si>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</si>
  <si>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</si>
  <si>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</si>
  <si>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</si>
  <si>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</si>
  <si>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</si>
  <si>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</si>
  <si>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</si>
  <si>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</si>
  <si>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</si>
  <si>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</si>
  <si>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</si>
  <si>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</si>
  <si>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</si>
  <si>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</si>
  <si>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</si>
  <si>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</si>
  <si>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</si>
  <si>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</si>
  <si>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</si>
  <si>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</si>
  <si>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</si>
  <si>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</si>
  <si>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</si>
  <si>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</si>
  <si>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</si>
  <si>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</si>
  <si>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</si>
  <si>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</si>
  <si>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</si>
  <si>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</si>
  <si>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</si>
  <si>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</si>
  <si>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</si>
  <si>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</si>
  <si>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</si>
  <si>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</si>
  <si>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</si>
  <si>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</si>
  <si>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</si>
  <si>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</si>
  <si>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</si>
  <si>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</si>
  <si>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</si>
  <si>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</si>
  <si>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</si>
  <si>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</si>
  <si>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</si>
  <si>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</si>
  <si>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</si>
  <si>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</si>
  <si>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</si>
  <si>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</si>
  <si>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</si>
  <si>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</si>
  <si>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</si>
  <si>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</si>
  <si>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</si>
  <si>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</si>
  <si>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</si>
  <si>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</si>
  <si>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</si>
  <si>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</si>
  <si>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</si>
  <si>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</si>
  <si>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</si>
  <si>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</si>
  <si>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</si>
  <si>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</si>
  <si>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</si>
  <si>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</si>
  <si>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</si>
  <si>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</si>
  <si>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</si>
  <si>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</si>
  <si>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</si>
  <si>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</si>
  <si>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</si>
  <si>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</si>
  <si>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</si>
  <si>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</si>
  <si>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</si>
  <si>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</si>
  <si>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</si>
  <si>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</si>
  <si>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</si>
  <si>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</si>
  <si>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</si>
  <si>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</si>
  <si>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</si>
  <si>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</si>
  <si>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</si>
  <si>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</si>
  <si>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</si>
  <si>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</si>
  <si>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</si>
  <si>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</si>
  <si>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</si>
  <si>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</si>
  <si>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</si>
  <si>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</si>
  <si>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</si>
  <si>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</si>
  <si>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</si>
  <si>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</si>
  <si>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</si>
  <si>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</si>
  <si>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</si>
  <si>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</si>
  <si>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</si>
  <si>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</si>
  <si>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</si>
  <si>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</si>
  <si>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</si>
  <si>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</si>
  <si>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</si>
  <si>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</si>
  <si>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</si>
  <si>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</si>
  <si>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</si>
  <si>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</si>
  <si>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</si>
  <si>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</si>
  <si>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06/15/01</t>
  </si>
  <si>
    <t>07/15/2016</t>
  </si>
  <si>
    <t>COLEBROOK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</si>
</sst>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5" zoomScaleNormal="11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105</v>
      </c>
      <c r="C2" s="21">
        <v>105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517962.65</v>
      </c>
      <c r="G9" s="18">
        <v>3630.62</v>
      </c>
      <c r="H9" s="18"/>
      <c r="I9" s="18"/>
      <c r="J9" s="67">
        <f>SUM(I438)</f>
        <v>477201.1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131195.54999999999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72874.91</v>
      </c>
      <c r="G13" s="18">
        <v>16116.31</v>
      </c>
      <c r="H13" s="18">
        <f>91303.48+14745.85+1014.18+19328.54</f>
        <v>126392.04999999999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701.58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4188.4399999999996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722734.69</v>
      </c>
      <c r="G19" s="41">
        <f>SUM(G9:G18)</f>
        <v>23935.37</v>
      </c>
      <c r="H19" s="41">
        <f>SUM(H9:H18)</f>
        <v>126392.04999999999</v>
      </c>
      <c r="I19" s="41">
        <f>SUM(I9:I18)</f>
        <v>0</v>
      </c>
      <c r="J19" s="41">
        <f>SUM(J9:J18)</f>
        <v>477201.1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5577.37</v>
      </c>
      <c r="H22" s="18">
        <v>125618.18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84982.86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1955.59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10147.38+960.07+1922.8+1281.14+74.25</f>
        <v>14385.639999999998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24915.51</v>
      </c>
      <c r="G30" s="18"/>
      <c r="H30" s="18">
        <v>773.87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124284.01</v>
      </c>
      <c r="G32" s="41">
        <f>SUM(G22:G31)</f>
        <v>7532.96</v>
      </c>
      <c r="H32" s="41">
        <f>SUM(H22:H31)</f>
        <v>126392.04999999999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4188.4399999999996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12213.97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46800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0</v>
      </c>
      <c r="H47" s="18"/>
      <c r="I47" s="18"/>
      <c r="J47" s="13">
        <f>SUM(I458)</f>
        <v>477201.1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598450.68-46800</f>
        <v>551650.68000000005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598450.68000000005</v>
      </c>
      <c r="G50" s="41">
        <f>SUM(G35:G49)</f>
        <v>16402.41</v>
      </c>
      <c r="H50" s="41">
        <f>SUM(H35:H49)</f>
        <v>0</v>
      </c>
      <c r="I50" s="41">
        <f>SUM(I35:I49)</f>
        <v>0</v>
      </c>
      <c r="J50" s="41">
        <f>SUM(J35:J49)</f>
        <v>477201.1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722734.69000000006</v>
      </c>
      <c r="G51" s="41">
        <f>G50+G32</f>
        <v>23935.37</v>
      </c>
      <c r="H51" s="41">
        <f>H50+H32</f>
        <v>126392.04999999999</v>
      </c>
      <c r="I51" s="41">
        <f>I50+I32</f>
        <v>0</v>
      </c>
      <c r="J51" s="41">
        <f>J50+J32</f>
        <v>477201.1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1455239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1455239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2527.8000000000002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30375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1468684.81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307416.32000000001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1809003.9300000002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403.11</v>
      </c>
      <c r="G95" s="18"/>
      <c r="H95" s="18"/>
      <c r="I95" s="18"/>
      <c r="J95" s="18">
        <v>4570.93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76582.759999999995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18000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158386.23999999999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3532.82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849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2244.63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183415.8</v>
      </c>
      <c r="G110" s="41">
        <f>SUM(G95:G109)</f>
        <v>76582.759999999995</v>
      </c>
      <c r="H110" s="41">
        <f>SUM(H95:H109)</f>
        <v>0</v>
      </c>
      <c r="I110" s="41">
        <f>SUM(I95:I109)</f>
        <v>0</v>
      </c>
      <c r="J110" s="41">
        <f>SUM(J95:J109)</f>
        <v>4570.93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3447658.73</v>
      </c>
      <c r="G111" s="41">
        <f>G59+G110</f>
        <v>76582.759999999995</v>
      </c>
      <c r="H111" s="41">
        <f>H59+H78+H93+H110</f>
        <v>0</v>
      </c>
      <c r="I111" s="41">
        <f>I59+I110</f>
        <v>0</v>
      </c>
      <c r="J111" s="41">
        <f>J59+J110</f>
        <v>4570.93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2067203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380312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2447515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263215.89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412.57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263215.89</v>
      </c>
      <c r="G135" s="41">
        <f>SUM(G122:G134)</f>
        <v>412.57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2710730.89</v>
      </c>
      <c r="G139" s="41">
        <f>G120+SUM(G135:G136)</f>
        <v>412.57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7495</f>
        <v>7495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7495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9668.9+233733.88</f>
        <v>243402.78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14041.76+4853.15+31105.03+9685.36+23775.97+65419.14+1338.2</f>
        <v>150218.61000000002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103641.17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5534.87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13195.82+1000+3424</f>
        <v>17619.82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5534.87</v>
      </c>
      <c r="G161" s="41">
        <f>SUM(G149:G160)</f>
        <v>103641.17</v>
      </c>
      <c r="H161" s="41">
        <f>SUM(H149:H160)</f>
        <v>411241.21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5534.87</v>
      </c>
      <c r="G168" s="41">
        <f>G146+G161+SUM(G162:G167)</f>
        <v>103641.17</v>
      </c>
      <c r="H168" s="41">
        <f>H146+H161+SUM(H162:H167)</f>
        <v>418736.21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11000</v>
      </c>
      <c r="H178" s="18"/>
      <c r="I178" s="18"/>
      <c r="J178" s="18">
        <v>49235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11000</v>
      </c>
      <c r="H182" s="41">
        <f>SUM(H178:H181)</f>
        <v>0</v>
      </c>
      <c r="I182" s="41">
        <f>SUM(I178:I181)</f>
        <v>0</v>
      </c>
      <c r="J182" s="41">
        <f>SUM(J178:J181)</f>
        <v>49235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108587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108587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108587</v>
      </c>
      <c r="G191" s="41">
        <f>G182+SUM(G187:G190)</f>
        <v>11000</v>
      </c>
      <c r="H191" s="41">
        <f>+H182+SUM(H187:H190)</f>
        <v>0</v>
      </c>
      <c r="I191" s="41">
        <f>I176+I182+SUM(I187:I190)</f>
        <v>0</v>
      </c>
      <c r="J191" s="41">
        <f>J182</f>
        <v>49235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6272511.4900000002</v>
      </c>
      <c r="G192" s="47">
        <f>G111+G139+G168+G191</f>
        <v>191636.5</v>
      </c>
      <c r="H192" s="47">
        <f>H111+H139+H168+H191</f>
        <v>418736.21</v>
      </c>
      <c r="I192" s="47">
        <f>I111+I139+I168+I191</f>
        <v>0</v>
      </c>
      <c r="J192" s="47">
        <f>J111+J139+J191</f>
        <v>53805.93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872590.7</v>
      </c>
      <c r="G196" s="18">
        <f>479772.5-12536.6</f>
        <v>467235.9</v>
      </c>
      <c r="H196" s="18">
        <v>17721.64</v>
      </c>
      <c r="I196" s="18">
        <v>35796.86</v>
      </c>
      <c r="J196" s="18">
        <v>2464.1999999999998</v>
      </c>
      <c r="K196" s="18">
        <v>348</v>
      </c>
      <c r="L196" s="19">
        <f>SUM(F196:K196)</f>
        <v>1396157.3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305423.79+1000.1+32899.98</f>
        <v>339323.86999999994</v>
      </c>
      <c r="G197" s="18">
        <f>80552.47+189.51+13069.07</f>
        <v>93811.049999999988</v>
      </c>
      <c r="H197" s="18">
        <f>12934.4</f>
        <v>12934.4</v>
      </c>
      <c r="I197" s="18">
        <v>860.51</v>
      </c>
      <c r="J197" s="18">
        <f>2716.8</f>
        <v>2716.8</v>
      </c>
      <c r="K197" s="18">
        <f>59.5+160</f>
        <v>219.5</v>
      </c>
      <c r="L197" s="19">
        <f>SUM(F197:K197)</f>
        <v>449866.12999999995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2987.6+15781.36+726.78</f>
        <v>19495.739999999998</v>
      </c>
      <c r="G199" s="18">
        <f>515.7+1767.47+137.72</f>
        <v>2420.89</v>
      </c>
      <c r="H199" s="18"/>
      <c r="I199" s="18"/>
      <c r="J199" s="18"/>
      <c r="K199" s="18">
        <v>1481</v>
      </c>
      <c r="L199" s="19">
        <f>SUM(F199:K199)</f>
        <v>23397.629999999997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35600+80833.6+36102+2931.04+26024.96</f>
        <v>181491.6</v>
      </c>
      <c r="G201" s="18">
        <f>25170.69+6291.46+2761.8+224.21+13758.2</f>
        <v>48206.36</v>
      </c>
      <c r="H201" s="18">
        <f>3715+47661.83+1462.5+9705.83+18653.25+34628.5+2344.96</f>
        <v>118171.87000000001</v>
      </c>
      <c r="I201" s="18">
        <f>142.4+976.76+300.09+207.87+663.17+2968.89</f>
        <v>5259.18</v>
      </c>
      <c r="J201" s="18">
        <f>1114.38+33827.19</f>
        <v>34941.57</v>
      </c>
      <c r="K201" s="18">
        <f>230+225+2351.63+319.82</f>
        <v>3126.4500000000003</v>
      </c>
      <c r="L201" s="19">
        <f t="shared" ref="L201:L207" si="0">SUM(F201:K201)</f>
        <v>391197.03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6485.5+33863.86</f>
        <v>40349.360000000001</v>
      </c>
      <c r="G202" s="18">
        <f>7975.82+8910.37</f>
        <v>16886.190000000002</v>
      </c>
      <c r="H202" s="18">
        <f>2119.61</f>
        <v>2119.61</v>
      </c>
      <c r="I202" s="18">
        <f>636+2794.26</f>
        <v>3430.26</v>
      </c>
      <c r="J202" s="18">
        <v>273.7</v>
      </c>
      <c r="K202" s="18">
        <f>2900</f>
        <v>2900</v>
      </c>
      <c r="L202" s="19">
        <f t="shared" si="0"/>
        <v>65959.12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5216</f>
        <v>5216</v>
      </c>
      <c r="G203" s="18">
        <v>399.03</v>
      </c>
      <c r="H203" s="18">
        <f>16172.28+171182+756+91</f>
        <v>188201.28</v>
      </c>
      <c r="I203" s="18">
        <f>671.21</f>
        <v>671.21</v>
      </c>
      <c r="J203" s="18"/>
      <c r="K203" s="18">
        <v>3148.81</v>
      </c>
      <c r="L203" s="19">
        <f t="shared" si="0"/>
        <v>197636.33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124478.04</f>
        <v>124478.04</v>
      </c>
      <c r="G204" s="18">
        <v>71802.39</v>
      </c>
      <c r="H204" s="18">
        <v>17070.78</v>
      </c>
      <c r="I204" s="18">
        <f>976.29</f>
        <v>976.29</v>
      </c>
      <c r="J204" s="18"/>
      <c r="K204" s="18">
        <v>984</v>
      </c>
      <c r="L204" s="19">
        <f t="shared" si="0"/>
        <v>215311.5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83245.94</v>
      </c>
      <c r="G206" s="18">
        <v>57018.2</v>
      </c>
      <c r="H206" s="18">
        <v>111755.8</v>
      </c>
      <c r="I206" s="18">
        <v>166870.32</v>
      </c>
      <c r="J206" s="18">
        <v>84975.18</v>
      </c>
      <c r="K206" s="18">
        <v>439.84</v>
      </c>
      <c r="L206" s="19">
        <f t="shared" si="0"/>
        <v>504305.28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11136.09</f>
        <v>11136.09</v>
      </c>
      <c r="G207" s="18">
        <v>851.94</v>
      </c>
      <c r="H207" s="18">
        <f>94744.86+2038.2+898.5+7428.5</f>
        <v>105110.06</v>
      </c>
      <c r="I207" s="18">
        <v>4282.4799999999996</v>
      </c>
      <c r="J207" s="18"/>
      <c r="K207" s="18">
        <f>440.78</f>
        <v>440.78</v>
      </c>
      <c r="L207" s="19">
        <f t="shared" si="0"/>
        <v>121821.34999999999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1677327.34</v>
      </c>
      <c r="G210" s="41">
        <f t="shared" si="1"/>
        <v>758631.94999999984</v>
      </c>
      <c r="H210" s="41">
        <f t="shared" si="1"/>
        <v>573085.43999999994</v>
      </c>
      <c r="I210" s="41">
        <f t="shared" si="1"/>
        <v>218147.11000000002</v>
      </c>
      <c r="J210" s="41">
        <f t="shared" si="1"/>
        <v>125371.44999999998</v>
      </c>
      <c r="K210" s="41">
        <f t="shared" si="1"/>
        <v>13088.380000000001</v>
      </c>
      <c r="L210" s="41">
        <f t="shared" si="1"/>
        <v>3365651.6700000004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677881.57</v>
      </c>
      <c r="G232" s="18">
        <f>330137.47-5372.84</f>
        <v>324764.62999999995</v>
      </c>
      <c r="H232" s="18">
        <v>46738.51</v>
      </c>
      <c r="I232" s="18">
        <f>33188.18</f>
        <v>33188.18</v>
      </c>
      <c r="J232" s="18"/>
      <c r="K232" s="18">
        <v>191.2</v>
      </c>
      <c r="L232" s="19">
        <f>SUM(F232:K232)</f>
        <v>1082764.0899999999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96186.15+32900.02</f>
        <v>129086.16999999998</v>
      </c>
      <c r="G233" s="18">
        <f>46093.1+13047.47</f>
        <v>59140.57</v>
      </c>
      <c r="H233" s="18">
        <f>13264.36</f>
        <v>13264.36</v>
      </c>
      <c r="I233" s="18">
        <v>100.97</v>
      </c>
      <c r="J233" s="18"/>
      <c r="K233" s="18"/>
      <c r="L233" s="19">
        <f>SUM(F233:K233)</f>
        <v>201592.06999999998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22500</v>
      </c>
      <c r="I234" s="18"/>
      <c r="J234" s="18"/>
      <c r="K234" s="18"/>
      <c r="L234" s="19">
        <f>SUM(F234:K234)</f>
        <v>22500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38928.7+1308.15+19619.6</f>
        <v>59856.45</v>
      </c>
      <c r="G235" s="18">
        <f>3282.89+4628.46+247.89</f>
        <v>8159.2400000000007</v>
      </c>
      <c r="H235" s="18">
        <f>480+8864</f>
        <v>9344</v>
      </c>
      <c r="I235" s="18">
        <f>261.15+3201.81</f>
        <v>3462.96</v>
      </c>
      <c r="J235" s="18">
        <v>288</v>
      </c>
      <c r="K235" s="18">
        <f>3734.05+3448</f>
        <v>7182.05</v>
      </c>
      <c r="L235" s="19">
        <f>SUM(F235:K235)</f>
        <v>88292.700000000012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75727.02+26024.96</f>
        <v>101751.98000000001</v>
      </c>
      <c r="G237" s="18">
        <f>32406.39+14533.32</f>
        <v>46939.71</v>
      </c>
      <c r="H237" s="18">
        <f>2205+27804.66+9069+369.54</f>
        <v>39448.200000000004</v>
      </c>
      <c r="I237" s="18">
        <f>97.89+485.64+4372.58</f>
        <v>4956.1099999999997</v>
      </c>
      <c r="J237" s="18">
        <f>192+16257.83</f>
        <v>16449.830000000002</v>
      </c>
      <c r="K237" s="18">
        <f>300+1381.12+66.56</f>
        <v>1747.6799999999998</v>
      </c>
      <c r="L237" s="19">
        <f t="shared" ref="L237:L243" si="4">SUM(F237:K237)</f>
        <v>211293.51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33785.53+4462.5</f>
        <v>38248.03</v>
      </c>
      <c r="G238" s="18">
        <f>4405.23+8970.63</f>
        <v>13375.859999999999</v>
      </c>
      <c r="H238" s="18">
        <f>151.33</f>
        <v>151.33000000000001</v>
      </c>
      <c r="I238" s="18">
        <f>1047+2366.92</f>
        <v>3413.92</v>
      </c>
      <c r="J238" s="18"/>
      <c r="K238" s="18">
        <v>2850</v>
      </c>
      <c r="L238" s="19">
        <f t="shared" si="4"/>
        <v>58039.14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3084</v>
      </c>
      <c r="G239" s="18">
        <f>235.92</f>
        <v>235.92</v>
      </c>
      <c r="H239" s="18">
        <f>9158.31+100536</f>
        <v>109694.31</v>
      </c>
      <c r="I239" s="18">
        <v>561.27</v>
      </c>
      <c r="J239" s="18"/>
      <c r="K239" s="18">
        <v>1606.81</v>
      </c>
      <c r="L239" s="19">
        <f t="shared" si="4"/>
        <v>115182.31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105178.34</v>
      </c>
      <c r="G240" s="18">
        <v>35908.589999999997</v>
      </c>
      <c r="H240" s="18">
        <f>12083.44</f>
        <v>12083.44</v>
      </c>
      <c r="I240" s="18">
        <v>4554.29</v>
      </c>
      <c r="J240" s="18"/>
      <c r="K240" s="18">
        <v>1432</v>
      </c>
      <c r="L240" s="19">
        <f t="shared" si="4"/>
        <v>159156.66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68745.47</v>
      </c>
      <c r="G242" s="18">
        <v>21296.27</v>
      </c>
      <c r="H242" s="18">
        <v>110670.5</v>
      </c>
      <c r="I242" s="18">
        <v>92888.35</v>
      </c>
      <c r="J242" s="18">
        <v>494.27</v>
      </c>
      <c r="K242" s="18">
        <v>576.98</v>
      </c>
      <c r="L242" s="19">
        <f t="shared" si="4"/>
        <v>294671.83999999997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1122.3599999999999</v>
      </c>
      <c r="G243" s="18">
        <v>85.86</v>
      </c>
      <c r="H243" s="18">
        <f>54258.1+19765+9169.18</f>
        <v>83192.28</v>
      </c>
      <c r="I243" s="18">
        <f>320.99</f>
        <v>320.99</v>
      </c>
      <c r="J243" s="18"/>
      <c r="K243" s="18"/>
      <c r="L243" s="19">
        <f t="shared" si="4"/>
        <v>84721.49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1184954.3700000001</v>
      </c>
      <c r="G246" s="41">
        <f t="shared" si="5"/>
        <v>509906.64999999991</v>
      </c>
      <c r="H246" s="41">
        <f t="shared" si="5"/>
        <v>447086.93000000005</v>
      </c>
      <c r="I246" s="41">
        <f t="shared" si="5"/>
        <v>143447.03999999998</v>
      </c>
      <c r="J246" s="41">
        <f t="shared" si="5"/>
        <v>17232.100000000002</v>
      </c>
      <c r="K246" s="41">
        <f t="shared" si="5"/>
        <v>15586.72</v>
      </c>
      <c r="L246" s="41">
        <f t="shared" si="5"/>
        <v>2318213.81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85000</v>
      </c>
      <c r="I254" s="18"/>
      <c r="J254" s="18"/>
      <c r="K254" s="18"/>
      <c r="L254" s="19">
        <f t="shared" si="6"/>
        <v>85000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85000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85000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2862281.71</v>
      </c>
      <c r="G256" s="41">
        <f t="shared" si="8"/>
        <v>1268538.5999999996</v>
      </c>
      <c r="H256" s="41">
        <f t="shared" si="8"/>
        <v>1105172.3700000001</v>
      </c>
      <c r="I256" s="41">
        <f t="shared" si="8"/>
        <v>361594.15</v>
      </c>
      <c r="J256" s="41">
        <f t="shared" si="8"/>
        <v>142603.54999999999</v>
      </c>
      <c r="K256" s="41">
        <f t="shared" si="8"/>
        <v>28675.1</v>
      </c>
      <c r="L256" s="41">
        <f t="shared" si="8"/>
        <v>5768865.4800000004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390000</v>
      </c>
      <c r="L259" s="19">
        <f>SUM(F259:K259)</f>
        <v>390000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80145</v>
      </c>
      <c r="L260" s="19">
        <f>SUM(F260:K260)</f>
        <v>80145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11000</v>
      </c>
      <c r="L262" s="19">
        <f>SUM(F262:K262)</f>
        <v>11000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49235</v>
      </c>
      <c r="L265" s="19">
        <f t="shared" si="9"/>
        <v>49235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22236</v>
      </c>
      <c r="L267" s="19">
        <f t="shared" si="9"/>
        <v>22236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552616</v>
      </c>
      <c r="L269" s="41">
        <f t="shared" si="9"/>
        <v>552616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2862281.71</v>
      </c>
      <c r="G270" s="42">
        <f t="shared" si="11"/>
        <v>1268538.5999999996</v>
      </c>
      <c r="H270" s="42">
        <f t="shared" si="11"/>
        <v>1105172.3700000001</v>
      </c>
      <c r="I270" s="42">
        <f t="shared" si="11"/>
        <v>361594.15</v>
      </c>
      <c r="J270" s="42">
        <f t="shared" si="11"/>
        <v>142603.54999999999</v>
      </c>
      <c r="K270" s="42">
        <f t="shared" si="11"/>
        <v>581291.1</v>
      </c>
      <c r="L270" s="42">
        <f t="shared" si="11"/>
        <v>6321481.4800000004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1180+240+390</f>
        <v>1810</v>
      </c>
      <c r="G275" s="18">
        <f>85.68+18.36+29.84</f>
        <v>133.88</v>
      </c>
      <c r="H275" s="18"/>
      <c r="I275" s="18">
        <v>1000</v>
      </c>
      <c r="J275" s="18"/>
      <c r="K275" s="18"/>
      <c r="L275" s="19">
        <f>SUM(F275:K275)</f>
        <v>2943.88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104524.32+24483.56</f>
        <v>129007.88</v>
      </c>
      <c r="G276" s="18">
        <f>53867.73+13152.38</f>
        <v>67020.11</v>
      </c>
      <c r="H276" s="18"/>
      <c r="I276" s="18">
        <v>2501.75</v>
      </c>
      <c r="J276" s="18">
        <f>31507.5+8609.95+2472.75</f>
        <v>42590.2</v>
      </c>
      <c r="K276" s="18"/>
      <c r="L276" s="19">
        <f>SUM(F276:K276)</f>
        <v>241119.94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2964.08</f>
        <v>2964.08</v>
      </c>
      <c r="G278" s="18">
        <f>255.01</f>
        <v>255.01</v>
      </c>
      <c r="H278" s="18">
        <f>438.5</f>
        <v>438.5</v>
      </c>
      <c r="I278" s="18">
        <f>116.68+938</f>
        <v>1054.68</v>
      </c>
      <c r="J278" s="18"/>
      <c r="K278" s="18">
        <v>90</v>
      </c>
      <c r="L278" s="19">
        <f>SUM(F278:K278)</f>
        <v>4802.2700000000004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8288.45+1125</f>
        <v>9413.4500000000007</v>
      </c>
      <c r="G280" s="18">
        <f>634.05+213.2</f>
        <v>847.25</v>
      </c>
      <c r="H280" s="18">
        <v>20198.82</v>
      </c>
      <c r="I280" s="18">
        <v>8891.1200000000008</v>
      </c>
      <c r="J280" s="18">
        <v>1143</v>
      </c>
      <c r="K280" s="18">
        <v>4304.7</v>
      </c>
      <c r="L280" s="19">
        <f t="shared" ref="L280:L286" si="12">SUM(F280:K280)</f>
        <v>44798.34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4862+4080+4972.5</f>
        <v>13914.5</v>
      </c>
      <c r="G281" s="18">
        <f>921.52+773.15</f>
        <v>1694.67</v>
      </c>
      <c r="H281" s="18">
        <f>28180.54+8258.24+24545.85+8018.67+2899+7495</f>
        <v>79397.3</v>
      </c>
      <c r="I281" s="18">
        <f>983.82+308.85+14962.32</f>
        <v>16254.99</v>
      </c>
      <c r="J281" s="18"/>
      <c r="K281" s="18">
        <v>2232</v>
      </c>
      <c r="L281" s="19">
        <f t="shared" si="12"/>
        <v>113493.46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780+2499.9</f>
        <v>3279.9</v>
      </c>
      <c r="G282" s="18">
        <f>147.81+473.46+942.15</f>
        <v>1563.42</v>
      </c>
      <c r="H282" s="18">
        <f>111</f>
        <v>111</v>
      </c>
      <c r="I282" s="18"/>
      <c r="J282" s="18"/>
      <c r="K282" s="18"/>
      <c r="L282" s="19">
        <f t="shared" si="12"/>
        <v>4954.32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2000+1200</f>
        <v>3200</v>
      </c>
      <c r="L284" s="19">
        <f t="shared" si="12"/>
        <v>3200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160389.81</v>
      </c>
      <c r="G289" s="42">
        <f t="shared" si="13"/>
        <v>71514.34</v>
      </c>
      <c r="H289" s="42">
        <f t="shared" si="13"/>
        <v>100145.62</v>
      </c>
      <c r="I289" s="42">
        <f t="shared" si="13"/>
        <v>29702.54</v>
      </c>
      <c r="J289" s="42">
        <f t="shared" si="13"/>
        <v>43733.2</v>
      </c>
      <c r="K289" s="42">
        <f t="shared" si="13"/>
        <v>9826.7000000000007</v>
      </c>
      <c r="L289" s="41">
        <f t="shared" si="13"/>
        <v>415312.21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>
        <v>3424</v>
      </c>
      <c r="K313" s="18"/>
      <c r="L313" s="19">
        <f>SUM(F313:K313)</f>
        <v>3424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3424</v>
      </c>
      <c r="K327" s="42">
        <f t="shared" si="17"/>
        <v>0</v>
      </c>
      <c r="L327" s="41">
        <f t="shared" si="17"/>
        <v>3424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160389.81</v>
      </c>
      <c r="G337" s="41">
        <f t="shared" si="20"/>
        <v>71514.34</v>
      </c>
      <c r="H337" s="41">
        <f t="shared" si="20"/>
        <v>100145.62</v>
      </c>
      <c r="I337" s="41">
        <f t="shared" si="20"/>
        <v>29702.54</v>
      </c>
      <c r="J337" s="41">
        <f t="shared" si="20"/>
        <v>47157.2</v>
      </c>
      <c r="K337" s="41">
        <f t="shared" si="20"/>
        <v>9826.7000000000007</v>
      </c>
      <c r="L337" s="41">
        <f t="shared" si="20"/>
        <v>418736.21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160389.81</v>
      </c>
      <c r="G351" s="41">
        <f>G337</f>
        <v>71514.34</v>
      </c>
      <c r="H351" s="41">
        <f>H337</f>
        <v>100145.62</v>
      </c>
      <c r="I351" s="41">
        <f>I337</f>
        <v>29702.54</v>
      </c>
      <c r="J351" s="41">
        <f>J337</f>
        <v>47157.2</v>
      </c>
      <c r="K351" s="47">
        <f>K337+K350</f>
        <v>9826.7000000000007</v>
      </c>
      <c r="L351" s="41">
        <f>L337+L350</f>
        <v>418736.21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>
        <v>574.20000000000005</v>
      </c>
      <c r="H357" s="18">
        <f>67.5+120481.64</f>
        <v>120549.14</v>
      </c>
      <c r="I357" s="18">
        <f>57.2+2188.34</f>
        <v>2245.54</v>
      </c>
      <c r="J357" s="18"/>
      <c r="K357" s="18"/>
      <c r="L357" s="13">
        <f>SUM(F357:K357)</f>
        <v>123368.87999999999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>
        <v>574.20000000000005</v>
      </c>
      <c r="H359" s="18">
        <f>281.5+70923.1</f>
        <v>71204.600000000006</v>
      </c>
      <c r="I359" s="18">
        <v>765.56</v>
      </c>
      <c r="J359" s="18">
        <v>109</v>
      </c>
      <c r="K359" s="18"/>
      <c r="L359" s="19">
        <f>SUM(F359:K359)</f>
        <v>72653.36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1148.4000000000001</v>
      </c>
      <c r="H361" s="47">
        <f t="shared" si="22"/>
        <v>191753.74</v>
      </c>
      <c r="I361" s="47">
        <f t="shared" si="22"/>
        <v>3011.1</v>
      </c>
      <c r="J361" s="47">
        <f t="shared" si="22"/>
        <v>109</v>
      </c>
      <c r="K361" s="47">
        <f t="shared" si="22"/>
        <v>0</v>
      </c>
      <c r="L361" s="47">
        <f t="shared" si="22"/>
        <v>196022.24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57.2</v>
      </c>
      <c r="G366" s="18"/>
      <c r="H366" s="18"/>
      <c r="I366" s="56">
        <f>SUM(F366:H366)</f>
        <v>57.2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2188.34</f>
        <v>2188.34</v>
      </c>
      <c r="G367" s="63"/>
      <c r="H367" s="63">
        <v>765.56</v>
      </c>
      <c r="I367" s="56">
        <f>SUM(F367:H367)</f>
        <v>2953.9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2245.54</v>
      </c>
      <c r="G368" s="47">
        <f>SUM(G366:G367)</f>
        <v>0</v>
      </c>
      <c r="H368" s="47">
        <f>SUM(H366:H367)</f>
        <v>765.56</v>
      </c>
      <c r="I368" s="47">
        <f>SUM(I366:I367)</f>
        <v>3011.1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f>648.99+9.17</f>
        <v>658.16</v>
      </c>
      <c r="I395" s="18"/>
      <c r="J395" s="24" t="s">
        <v>289</v>
      </c>
      <c r="K395" s="24" t="s">
        <v>289</v>
      </c>
      <c r="L395" s="56">
        <f t="shared" si="26"/>
        <v>658.16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0</v>
      </c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666.43</v>
      </c>
      <c r="I397" s="18"/>
      <c r="J397" s="24" t="s">
        <v>289</v>
      </c>
      <c r="K397" s="24" t="s">
        <v>289</v>
      </c>
      <c r="L397" s="56">
        <f t="shared" si="26"/>
        <v>666.43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f>238.28</f>
        <v>238.28</v>
      </c>
      <c r="I398" s="18"/>
      <c r="J398" s="24" t="s">
        <v>289</v>
      </c>
      <c r="K398" s="24" t="s">
        <v>289</v>
      </c>
      <c r="L398" s="56">
        <f t="shared" si="26"/>
        <v>238.28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49235</v>
      </c>
      <c r="H399" s="18">
        <f>2038.44+434.12+115.21+376.81+43.48</f>
        <v>3008.06</v>
      </c>
      <c r="I399" s="18"/>
      <c r="J399" s="24" t="s">
        <v>289</v>
      </c>
      <c r="K399" s="24" t="s">
        <v>289</v>
      </c>
      <c r="L399" s="56">
        <f t="shared" si="26"/>
        <v>52243.06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49235</v>
      </c>
      <c r="H400" s="47">
        <f>SUM(H394:H399)</f>
        <v>4570.93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53805.93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49235</v>
      </c>
      <c r="H407" s="47">
        <f>H392+H400+H406</f>
        <v>4570.93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53805.93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f>90587+18000</f>
        <v>108587</v>
      </c>
      <c r="I425" s="18"/>
      <c r="J425" s="18">
        <f>14967.94+5000</f>
        <v>19967.940000000002</v>
      </c>
      <c r="K425" s="18"/>
      <c r="L425" s="56">
        <f t="shared" si="29"/>
        <v>128554.94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108587</v>
      </c>
      <c r="I426" s="47">
        <f t="shared" si="30"/>
        <v>0</v>
      </c>
      <c r="J426" s="47">
        <f t="shared" si="30"/>
        <v>19967.940000000002</v>
      </c>
      <c r="K426" s="47">
        <f t="shared" si="30"/>
        <v>0</v>
      </c>
      <c r="L426" s="47">
        <f t="shared" si="30"/>
        <v>128554.94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108587</v>
      </c>
      <c r="I433" s="47">
        <f t="shared" si="32"/>
        <v>0</v>
      </c>
      <c r="J433" s="47">
        <f t="shared" si="32"/>
        <v>19967.940000000002</v>
      </c>
      <c r="K433" s="47">
        <f t="shared" si="32"/>
        <v>0</v>
      </c>
      <c r="L433" s="47">
        <f t="shared" si="32"/>
        <v>128554.94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477201.1-25000</f>
        <v>452201.1</v>
      </c>
      <c r="H438" s="18">
        <v>25000</v>
      </c>
      <c r="I438" s="56">
        <f t="shared" ref="I438:I444" si="33">SUM(F438:H438)</f>
        <v>477201.1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452201.1</v>
      </c>
      <c r="H445" s="13">
        <f>SUM(H438:H444)</f>
        <v>25000</v>
      </c>
      <c r="I445" s="13">
        <f>SUM(I438:I444)</f>
        <v>477201.1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452201.1</v>
      </c>
      <c r="H458" s="18">
        <v>25000</v>
      </c>
      <c r="I458" s="56">
        <f t="shared" si="34"/>
        <v>477201.1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452201.1</v>
      </c>
      <c r="H459" s="83">
        <f>SUM(H453:H458)</f>
        <v>25000</v>
      </c>
      <c r="I459" s="83">
        <f>SUM(I453:I458)</f>
        <v>477201.1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452201.1</v>
      </c>
      <c r="H460" s="42">
        <f>H451+H459</f>
        <v>25000</v>
      </c>
      <c r="I460" s="42">
        <f>I451+I459</f>
        <v>477201.1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647420.67000000004</v>
      </c>
      <c r="G464" s="18">
        <v>27364.94</v>
      </c>
      <c r="H464" s="18">
        <v>0</v>
      </c>
      <c r="I464" s="18">
        <v>0</v>
      </c>
      <c r="J464" s="18">
        <v>551950.11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6272511.4900000002</v>
      </c>
      <c r="G467" s="18">
        <v>191636.5</v>
      </c>
      <c r="H467" s="18">
        <f>9668.9+233733.88+14041.76+4853.15+31105.03+9685.36+23775.97+3424+65419.14+7495+1000+13195.82+1338.2</f>
        <v>418736.20999999996</v>
      </c>
      <c r="I467" s="18"/>
      <c r="J467" s="18">
        <f>49235+4570.93</f>
        <v>53805.93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6272511.4900000002</v>
      </c>
      <c r="G469" s="53">
        <f>SUM(G467:G468)</f>
        <v>191636.5</v>
      </c>
      <c r="H469" s="53">
        <f>SUM(H467:H468)</f>
        <v>418736.20999999996</v>
      </c>
      <c r="I469" s="53">
        <f>SUM(I467:I468)</f>
        <v>0</v>
      </c>
      <c r="J469" s="53">
        <f>SUM(J467:J468)</f>
        <v>53805.93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6339390.92-17909.44</f>
        <v>6321481.4799999995</v>
      </c>
      <c r="G471" s="18">
        <v>196022.24</v>
      </c>
      <c r="H471" s="18">
        <v>418736.21</v>
      </c>
      <c r="I471" s="18"/>
      <c r="J471" s="18">
        <v>128554.94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6576.79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6321481.4799999995</v>
      </c>
      <c r="G473" s="53">
        <f>SUM(G471:G472)</f>
        <v>202599.03</v>
      </c>
      <c r="H473" s="53">
        <f>SUM(H471:H472)</f>
        <v>418736.21</v>
      </c>
      <c r="I473" s="53">
        <f>SUM(I471:I472)</f>
        <v>0</v>
      </c>
      <c r="J473" s="53">
        <f>SUM(J471:J472)</f>
        <v>128554.94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598450.68000000063</v>
      </c>
      <c r="G475" s="53">
        <f>(G464+G469)- G473</f>
        <v>16402.410000000003</v>
      </c>
      <c r="H475" s="53">
        <f>(H464+H469)- H473</f>
        <v>0</v>
      </c>
      <c r="I475" s="53">
        <f>(I464+I469)- I473</f>
        <v>0</v>
      </c>
      <c r="J475" s="53">
        <f>(J464+J469)- J473</f>
        <v>477201.10000000003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5840000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4.3749000000000002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1950000</v>
      </c>
      <c r="G494" s="18"/>
      <c r="H494" s="18"/>
      <c r="I494" s="18"/>
      <c r="J494" s="18"/>
      <c r="K494" s="53">
        <f>SUM(F494:J494)</f>
        <v>1950000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390000</v>
      </c>
      <c r="G496" s="18"/>
      <c r="H496" s="18"/>
      <c r="I496" s="18"/>
      <c r="J496" s="18"/>
      <c r="K496" s="53">
        <f t="shared" si="35"/>
        <v>390000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390000*4</f>
        <v>1560000</v>
      </c>
      <c r="G497" s="204"/>
      <c r="H497" s="204"/>
      <c r="I497" s="204"/>
      <c r="J497" s="204"/>
      <c r="K497" s="205">
        <f t="shared" si="35"/>
        <v>1560000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144105</v>
      </c>
      <c r="G498" s="18"/>
      <c r="H498" s="18"/>
      <c r="I498" s="18"/>
      <c r="J498" s="18"/>
      <c r="K498" s="53">
        <f t="shared" si="35"/>
        <v>144105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1704105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1704105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390000</v>
      </c>
      <c r="G500" s="204"/>
      <c r="H500" s="204"/>
      <c r="I500" s="204"/>
      <c r="J500" s="204"/>
      <c r="K500" s="205">
        <f t="shared" si="35"/>
        <v>390000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62595</v>
      </c>
      <c r="G501" s="18"/>
      <c r="H501" s="18"/>
      <c r="I501" s="18"/>
      <c r="J501" s="18"/>
      <c r="K501" s="53">
        <f t="shared" si="35"/>
        <v>62595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452595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452595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90200+197767.43+6376.43+11079.93</f>
        <v>305423.78999999998</v>
      </c>
      <c r="G520" s="18">
        <f>45628.48+23100.87+10784.62+1038.5</f>
        <v>80552.47</v>
      </c>
      <c r="H520" s="18">
        <f>2958.19+9976.21</f>
        <v>12934.4</v>
      </c>
      <c r="I520" s="18">
        <f>320.61+387.36+152.54</f>
        <v>860.51</v>
      </c>
      <c r="J520" s="18">
        <v>2716.8</v>
      </c>
      <c r="K520" s="18"/>
      <c r="L520" s="88">
        <f>SUM(F520:K520)</f>
        <v>402487.97000000003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96186.15</v>
      </c>
      <c r="G522" s="18">
        <v>46093.1</v>
      </c>
      <c r="H522" s="18">
        <v>13264.36</v>
      </c>
      <c r="I522" s="18">
        <v>100.97</v>
      </c>
      <c r="J522" s="18"/>
      <c r="K522" s="18"/>
      <c r="L522" s="88">
        <f>SUM(F522:K522)</f>
        <v>155644.57999999999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401609.93999999994</v>
      </c>
      <c r="G523" s="108">
        <f t="shared" ref="G523:L523" si="36">SUM(G520:G522)</f>
        <v>126645.57</v>
      </c>
      <c r="H523" s="108">
        <f t="shared" si="36"/>
        <v>26198.760000000002</v>
      </c>
      <c r="I523" s="108">
        <f t="shared" si="36"/>
        <v>961.48</v>
      </c>
      <c r="J523" s="108">
        <f t="shared" si="36"/>
        <v>2716.8</v>
      </c>
      <c r="K523" s="108">
        <f t="shared" si="36"/>
        <v>0</v>
      </c>
      <c r="L523" s="89">
        <f t="shared" si="36"/>
        <v>558132.55000000005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17926.67+27694.04+22707.4</f>
        <v>68328.11</v>
      </c>
      <c r="G525" s="18">
        <f>3493.82+50+8395.5+273+1737.13</f>
        <v>13949.45</v>
      </c>
      <c r="H525" s="18">
        <f>300.09+18653.25+25135</f>
        <v>44088.34</v>
      </c>
      <c r="I525" s="18">
        <f>207.87</f>
        <v>207.87</v>
      </c>
      <c r="J525" s="18">
        <v>1114.3800000000001</v>
      </c>
      <c r="K525" s="18">
        <f>230+225</f>
        <v>455</v>
      </c>
      <c r="L525" s="88">
        <f>SUM(F525:K525)</f>
        <v>128143.15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68328.11</v>
      </c>
      <c r="G528" s="89">
        <f t="shared" ref="G528:L528" si="37">SUM(G525:G527)</f>
        <v>13949.45</v>
      </c>
      <c r="H528" s="89">
        <f t="shared" si="37"/>
        <v>44088.34</v>
      </c>
      <c r="I528" s="89">
        <f t="shared" si="37"/>
        <v>207.87</v>
      </c>
      <c r="J528" s="89">
        <f t="shared" si="37"/>
        <v>1114.3800000000001</v>
      </c>
      <c r="K528" s="89">
        <f t="shared" si="37"/>
        <v>455</v>
      </c>
      <c r="L528" s="89">
        <f t="shared" si="37"/>
        <v>128143.15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f>64604*0.7</f>
        <v>45222.799999999996</v>
      </c>
      <c r="I530" s="18">
        <v>0</v>
      </c>
      <c r="J530" s="18"/>
      <c r="K530" s="18"/>
      <c r="L530" s="88">
        <f>SUM(F530:K530)</f>
        <v>45222.799999999996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>
        <v>0</v>
      </c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f>64604-45222.8</f>
        <v>19381.199999999997</v>
      </c>
      <c r="I532" s="18">
        <v>0</v>
      </c>
      <c r="J532" s="18"/>
      <c r="K532" s="18"/>
      <c r="L532" s="88">
        <f>SUM(F532:K532)</f>
        <v>19381.199999999997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64603.999999999993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64603.999999999993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11136.09</v>
      </c>
      <c r="G540" s="18">
        <v>851.94</v>
      </c>
      <c r="H540" s="18">
        <f>1018.2+1020</f>
        <v>2038.2</v>
      </c>
      <c r="I540" s="18">
        <f>190.2+4092.28</f>
        <v>4282.4800000000005</v>
      </c>
      <c r="J540" s="18"/>
      <c r="K540" s="18">
        <v>440.78</v>
      </c>
      <c r="L540" s="88">
        <f>SUM(F540:K540)</f>
        <v>18749.490000000002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11136.09</v>
      </c>
      <c r="G543" s="193">
        <f t="shared" ref="G543:L543" si="40">SUM(G540:G542)</f>
        <v>851.94</v>
      </c>
      <c r="H543" s="193">
        <f t="shared" si="40"/>
        <v>2038.2</v>
      </c>
      <c r="I543" s="193">
        <f t="shared" si="40"/>
        <v>4282.4800000000005</v>
      </c>
      <c r="J543" s="193">
        <f t="shared" si="40"/>
        <v>0</v>
      </c>
      <c r="K543" s="193">
        <f t="shared" si="40"/>
        <v>440.78</v>
      </c>
      <c r="L543" s="193">
        <f t="shared" si="40"/>
        <v>18749.490000000002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481074.13999999996</v>
      </c>
      <c r="G544" s="89">
        <f t="shared" ref="G544:L544" si="41">G523+G528+G533+G538+G543</f>
        <v>141446.96000000002</v>
      </c>
      <c r="H544" s="89">
        <f t="shared" si="41"/>
        <v>136929.30000000002</v>
      </c>
      <c r="I544" s="89">
        <f t="shared" si="41"/>
        <v>5451.83</v>
      </c>
      <c r="J544" s="89">
        <f t="shared" si="41"/>
        <v>3831.1800000000003</v>
      </c>
      <c r="K544" s="89">
        <f t="shared" si="41"/>
        <v>895.78</v>
      </c>
      <c r="L544" s="89">
        <f t="shared" si="41"/>
        <v>769629.19000000006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402487.97000000003</v>
      </c>
      <c r="G548" s="87">
        <f>L525</f>
        <v>128143.15</v>
      </c>
      <c r="H548" s="87">
        <f>L530</f>
        <v>45222.799999999996</v>
      </c>
      <c r="I548" s="87">
        <f>L535</f>
        <v>0</v>
      </c>
      <c r="J548" s="87">
        <f>L540</f>
        <v>18749.490000000002</v>
      </c>
      <c r="K548" s="87">
        <f>SUM(F548:J548)</f>
        <v>594603.41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155644.57999999999</v>
      </c>
      <c r="G550" s="87">
        <f>L527</f>
        <v>0</v>
      </c>
      <c r="H550" s="87">
        <f>L532</f>
        <v>19381.199999999997</v>
      </c>
      <c r="I550" s="87">
        <f>L537</f>
        <v>0</v>
      </c>
      <c r="J550" s="87">
        <f>L542</f>
        <v>0</v>
      </c>
      <c r="K550" s="87">
        <f>SUM(F550:J550)</f>
        <v>175025.77999999997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558132.55000000005</v>
      </c>
      <c r="G551" s="89">
        <f t="shared" si="42"/>
        <v>128143.15</v>
      </c>
      <c r="H551" s="89">
        <f t="shared" si="42"/>
        <v>64603.999999999993</v>
      </c>
      <c r="I551" s="89">
        <f t="shared" si="42"/>
        <v>0</v>
      </c>
      <c r="J551" s="89">
        <f t="shared" si="42"/>
        <v>18749.490000000002</v>
      </c>
      <c r="K551" s="89">
        <f t="shared" si="42"/>
        <v>769629.19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1164.69</v>
      </c>
      <c r="I578" s="87">
        <f t="shared" si="47"/>
        <v>1164.69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9976.2099999999991</v>
      </c>
      <c r="G581" s="18"/>
      <c r="H581" s="18">
        <v>12099.67</v>
      </c>
      <c r="I581" s="87">
        <f t="shared" si="47"/>
        <v>22075.879999999997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22500</v>
      </c>
      <c r="I583" s="87">
        <f t="shared" si="47"/>
        <v>22500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94744.86</v>
      </c>
      <c r="I590" s="18"/>
      <c r="J590" s="18">
        <f>54258.1-19800</f>
        <v>34458.1</v>
      </c>
      <c r="K590" s="104">
        <f t="shared" ref="K590:K596" si="48">SUM(H590:J590)</f>
        <v>129202.95999999999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18749.490000000002</v>
      </c>
      <c r="I591" s="18"/>
      <c r="J591" s="18"/>
      <c r="K591" s="104">
        <f t="shared" si="48"/>
        <v>18749.490000000002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898.5</v>
      </c>
      <c r="I593" s="18"/>
      <c r="J593" s="18">
        <v>19765</v>
      </c>
      <c r="K593" s="104">
        <f t="shared" si="48"/>
        <v>20663.5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7428.5</v>
      </c>
      <c r="I594" s="18"/>
      <c r="J594" s="18">
        <v>10698.39</v>
      </c>
      <c r="K594" s="104">
        <f t="shared" si="48"/>
        <v>18126.89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>
        <v>19800</v>
      </c>
      <c r="K595" s="104">
        <f t="shared" si="48"/>
        <v>19800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121821.35</v>
      </c>
      <c r="I597" s="108">
        <f>SUM(I590:I596)</f>
        <v>0</v>
      </c>
      <c r="J597" s="108">
        <f>SUM(J590:J596)</f>
        <v>84721.489999999991</v>
      </c>
      <c r="K597" s="108">
        <f>SUM(K590:K596)</f>
        <v>206542.83999999997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169104.65</v>
      </c>
      <c r="I603" s="18"/>
      <c r="J603" s="18">
        <f>20765.1-109</f>
        <v>20656.099999999999</v>
      </c>
      <c r="K603" s="104">
        <f>SUM(H603:J603)</f>
        <v>189760.75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169104.65</v>
      </c>
      <c r="I604" s="108">
        <f>SUM(I601:I603)</f>
        <v>0</v>
      </c>
      <c r="J604" s="108">
        <f>SUM(J601:J603)</f>
        <v>20656.099999999999</v>
      </c>
      <c r="K604" s="108">
        <f>SUM(K601:K603)</f>
        <v>189760.75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726.78</v>
      </c>
      <c r="G610" s="18">
        <v>137.72</v>
      </c>
      <c r="H610" s="18"/>
      <c r="I610" s="18"/>
      <c r="J610" s="18"/>
      <c r="K610" s="18"/>
      <c r="L610" s="88">
        <f>SUM(F610:K610)</f>
        <v>864.5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1308.1500000000001</v>
      </c>
      <c r="G612" s="18">
        <v>247.89</v>
      </c>
      <c r="H612" s="18"/>
      <c r="I612" s="18"/>
      <c r="J612" s="18"/>
      <c r="K612" s="18"/>
      <c r="L612" s="88">
        <f>SUM(F612:K612)</f>
        <v>1556.04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2034.93</v>
      </c>
      <c r="G613" s="108">
        <f t="shared" si="49"/>
        <v>385.61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2420.54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722734.69</v>
      </c>
      <c r="H616" s="109">
        <f>SUM(F51)</f>
        <v>722734.69000000006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23935.37</v>
      </c>
      <c r="H617" s="109">
        <f>SUM(G51)</f>
        <v>23935.37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126392.04999999999</v>
      </c>
      <c r="H618" s="109">
        <f>SUM(H51)</f>
        <v>126392.04999999999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477201.1</v>
      </c>
      <c r="H620" s="109">
        <f>SUM(J51)</f>
        <v>477201.1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598450.68000000005</v>
      </c>
      <c r="H621" s="109">
        <f>F475</f>
        <v>598450.68000000063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16402.41</v>
      </c>
      <c r="H622" s="109">
        <f>G475</f>
        <v>16402.410000000003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477201.1</v>
      </c>
      <c r="H625" s="109">
        <f>J475</f>
        <v>477201.10000000003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6272511.4900000002</v>
      </c>
      <c r="H626" s="104">
        <f>SUM(F467)</f>
        <v>6272511.4900000002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191636.5</v>
      </c>
      <c r="H627" s="104">
        <f>SUM(G467)</f>
        <v>191636.5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418736.21</v>
      </c>
      <c r="H628" s="104">
        <f>SUM(H467)</f>
        <v>418736.20999999996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53805.93</v>
      </c>
      <c r="H630" s="104">
        <f>SUM(J467)</f>
        <v>53805.93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6321481.4800000004</v>
      </c>
      <c r="H631" s="104">
        <f>SUM(F471)</f>
        <v>6321481.4799999995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418736.21</v>
      </c>
      <c r="H632" s="104">
        <f>SUM(H471)</f>
        <v>418736.21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3011.1</v>
      </c>
      <c r="H633" s="104">
        <f>I368</f>
        <v>3011.1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196022.24</v>
      </c>
      <c r="H634" s="104">
        <f>SUM(G471)</f>
        <v>196022.24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53805.93</v>
      </c>
      <c r="H636" s="164">
        <f>SUM(J467)</f>
        <v>53805.93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128554.94</v>
      </c>
      <c r="H637" s="164">
        <f>SUM(J471)</f>
        <v>128554.94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452201.1</v>
      </c>
      <c r="H639" s="104">
        <f>SUM(G460)</f>
        <v>452201.1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25000</v>
      </c>
      <c r="H640" s="104">
        <f>SUM(H460)</f>
        <v>25000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477201.1</v>
      </c>
      <c r="H641" s="104">
        <f>SUM(I460)</f>
        <v>477201.1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4570.93</v>
      </c>
      <c r="H643" s="104">
        <f>H407</f>
        <v>4570.93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49235</v>
      </c>
      <c r="H644" s="104">
        <f>G407</f>
        <v>49235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53805.93</v>
      </c>
      <c r="H645" s="104">
        <f>L407</f>
        <v>53805.93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206542.83999999997</v>
      </c>
      <c r="H646" s="104">
        <f>L207+L225+L243</f>
        <v>206542.84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189760.75</v>
      </c>
      <c r="H647" s="104">
        <f>(J256+J337)-(J254+J335)</f>
        <v>189760.75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121821.34999999999</v>
      </c>
      <c r="H648" s="104">
        <f>H597</f>
        <v>121821.35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84721.49</v>
      </c>
      <c r="H650" s="104">
        <f>J597</f>
        <v>84721.489999999991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11000</v>
      </c>
      <c r="H651" s="104">
        <f>K262+K344</f>
        <v>11000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49235</v>
      </c>
      <c r="H654" s="104">
        <f>K265+K346</f>
        <v>49235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3904332.7600000002</v>
      </c>
      <c r="G659" s="19">
        <f>(L228+L308+L358)</f>
        <v>0</v>
      </c>
      <c r="H659" s="19">
        <f>(L246+L327+L359)</f>
        <v>2394291.17</v>
      </c>
      <c r="I659" s="19">
        <f>SUM(F659:H659)</f>
        <v>6298623.9299999997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48198.25203767082</v>
      </c>
      <c r="G660" s="19">
        <f>(L358/IF(SUM(L357:L359)=0,1,SUM(L357:L359))*(SUM(G96:G109)))</f>
        <v>0</v>
      </c>
      <c r="H660" s="19">
        <f>(L359/IF(SUM(L357:L359)=0,1,SUM(L357:L359))*(SUM(G96:G109)))</f>
        <v>28384.507962329171</v>
      </c>
      <c r="I660" s="19">
        <f>SUM(F660:H660)</f>
        <v>76582.759999999995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121821.34999999999</v>
      </c>
      <c r="G661" s="19">
        <f>(L225+L305)-(J225+J305)</f>
        <v>0</v>
      </c>
      <c r="H661" s="19">
        <f>(L243+L324)-(J243+J324)</f>
        <v>84721.49</v>
      </c>
      <c r="I661" s="19">
        <f>SUM(F661:H661)</f>
        <v>206542.84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179945.36</v>
      </c>
      <c r="G662" s="199">
        <f>SUM(G574:G586)+SUM(I601:I603)+L611</f>
        <v>0</v>
      </c>
      <c r="H662" s="199">
        <f>SUM(H574:H586)+SUM(J601:J603)+L612</f>
        <v>57976.5</v>
      </c>
      <c r="I662" s="19">
        <f>SUM(F662:H662)</f>
        <v>237921.86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3554367.7979623294</v>
      </c>
      <c r="G663" s="19">
        <f>G659-SUM(G660:G662)</f>
        <v>0</v>
      </c>
      <c r="H663" s="19">
        <f>H659-SUM(H660:H662)</f>
        <v>2223208.6720376709</v>
      </c>
      <c r="I663" s="19">
        <f>I659-SUM(I660:I662)</f>
        <v>5777576.4699999997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4.8+31.51+228.87</f>
        <v>265.18</v>
      </c>
      <c r="G664" s="248"/>
      <c r="H664" s="248">
        <v>134.62</v>
      </c>
      <c r="I664" s="19">
        <f>SUM(F664:H664)</f>
        <v>399.8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13403.6</v>
      </c>
      <c r="G666" s="19" t="e">
        <f>ROUND(G663/G664,2)</f>
        <v>#DIV/0!</v>
      </c>
      <c r="H666" s="19">
        <f>ROUND(H663/H664,2)</f>
        <v>16514.7</v>
      </c>
      <c r="I666" s="19">
        <f>ROUND(I663/I664,2)</f>
        <v>14451.17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-2.0099999999999998</v>
      </c>
      <c r="I669" s="19">
        <f>SUM(F669:H669)</f>
        <v>-2.0099999999999998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13403.6</v>
      </c>
      <c r="G671" s="19" t="e">
        <f>ROUND((G663+G668)/(G664+G669),2)</f>
        <v>#DIV/0!</v>
      </c>
      <c r="H671" s="19">
        <f>ROUND((H663+H668)/(H664+H669),2)</f>
        <v>16765.02</v>
      </c>
      <c r="I671" s="19">
        <f>ROUND((I663+I668)/(I664+I669),2)</f>
        <v>14524.19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35" zoomScaleNormal="135" workbookViewId="0">
      <selection activeCell="C2" sqref="C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COLEBROOK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1552282.27</v>
      </c>
      <c r="C9" s="229">
        <f>'DOE25'!G196+'DOE25'!G214+'DOE25'!G232+'DOE25'!G275+'DOE25'!G294+'DOE25'!G313</f>
        <v>792134.41</v>
      </c>
    </row>
    <row r="10" spans="1:3" x14ac:dyDescent="0.2">
      <c r="A10" t="s">
        <v>779</v>
      </c>
      <c r="B10" s="240">
        <f>1550472.27-18081.42-11355-7385</f>
        <v>1513650.85</v>
      </c>
      <c r="C10" s="240">
        <v>807030.85</v>
      </c>
    </row>
    <row r="11" spans="1:3" x14ac:dyDescent="0.2">
      <c r="A11" t="s">
        <v>780</v>
      </c>
      <c r="B11" s="240">
        <f>1180+240+390+18081.42+11355+7385</f>
        <v>38631.42</v>
      </c>
      <c r="C11" s="240">
        <v>3013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1552282.27</v>
      </c>
      <c r="C13" s="231">
        <f>SUM(C10:C12)</f>
        <v>810043.85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597417.91999999993</v>
      </c>
      <c r="C18" s="229">
        <f>'DOE25'!G197+'DOE25'!G215+'DOE25'!G233+'DOE25'!G276+'DOE25'!G295+'DOE25'!G314</f>
        <v>219971.72999999998</v>
      </c>
    </row>
    <row r="19" spans="1:3" x14ac:dyDescent="0.2">
      <c r="A19" t="s">
        <v>779</v>
      </c>
      <c r="B19" s="240">
        <f>90200+81100+1000.1+65800+83399+16675+825</f>
        <v>338999.1</v>
      </c>
      <c r="C19" s="240">
        <v>199815.07</v>
      </c>
    </row>
    <row r="20" spans="1:3" x14ac:dyDescent="0.2">
      <c r="A20" t="s">
        <v>780</v>
      </c>
      <c r="B20" s="240">
        <f>197767.43+15086.15+6376.43+11079.93+21125.32+6983.56</f>
        <v>258418.81999999998</v>
      </c>
      <c r="C20" s="240">
        <v>20156.66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597417.91999999993</v>
      </c>
      <c r="C22" s="231">
        <f>SUM(C19:C21)</f>
        <v>219971.73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82316.27</v>
      </c>
      <c r="C36" s="235">
        <f>'DOE25'!G199+'DOE25'!G217+'DOE25'!G235+'DOE25'!G278+'DOE25'!G297+'DOE25'!G316</f>
        <v>10835.140000000001</v>
      </c>
    </row>
    <row r="37" spans="1:3" x14ac:dyDescent="0.2">
      <c r="A37" t="s">
        <v>779</v>
      </c>
      <c r="B37" s="240">
        <v>2034.93</v>
      </c>
      <c r="C37" s="240">
        <f>10835.14-6261</f>
        <v>4574.1399999999994</v>
      </c>
    </row>
    <row r="38" spans="1:3" x14ac:dyDescent="0.2">
      <c r="A38" t="s">
        <v>780</v>
      </c>
      <c r="B38" s="240">
        <f>82316.27-2034.93</f>
        <v>80281.340000000011</v>
      </c>
      <c r="C38" s="240">
        <v>6261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82316.27</v>
      </c>
      <c r="C40" s="231">
        <f>SUM(C37:C39)</f>
        <v>10835.14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COLEBROOK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3264569.92</v>
      </c>
      <c r="D5" s="20">
        <f>SUM('DOE25'!L196:L199)+SUM('DOE25'!L214:L217)+SUM('DOE25'!L232:L235)-F5-G5</f>
        <v>3249679.17</v>
      </c>
      <c r="E5" s="243"/>
      <c r="F5" s="255">
        <f>SUM('DOE25'!J196:J199)+SUM('DOE25'!J214:J217)+SUM('DOE25'!J232:J235)</f>
        <v>5469</v>
      </c>
      <c r="G5" s="53">
        <f>SUM('DOE25'!K196:K199)+SUM('DOE25'!K214:K217)+SUM('DOE25'!K232:K235)</f>
        <v>9421.75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602490.54</v>
      </c>
      <c r="D6" s="20">
        <f>'DOE25'!L201+'DOE25'!L219+'DOE25'!L237-F6-G6</f>
        <v>546225.01</v>
      </c>
      <c r="E6" s="243"/>
      <c r="F6" s="255">
        <f>'DOE25'!J201+'DOE25'!J219+'DOE25'!J237</f>
        <v>51391.4</v>
      </c>
      <c r="G6" s="53">
        <f>'DOE25'!K201+'DOE25'!K219+'DOE25'!K237</f>
        <v>4874.13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123998.26</v>
      </c>
      <c r="D7" s="20">
        <f>'DOE25'!L202+'DOE25'!L220+'DOE25'!L238-F7-G7</f>
        <v>117974.56</v>
      </c>
      <c r="E7" s="243"/>
      <c r="F7" s="255">
        <f>'DOE25'!J202+'DOE25'!J220+'DOE25'!J238</f>
        <v>273.7</v>
      </c>
      <c r="G7" s="53">
        <f>'DOE25'!K202+'DOE25'!K220+'DOE25'!K238</f>
        <v>5750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188613</v>
      </c>
      <c r="D8" s="243"/>
      <c r="E8" s="20">
        <f>'DOE25'!L203+'DOE25'!L221+'DOE25'!L239-F8-G8-D9-D11</f>
        <v>183857.38</v>
      </c>
      <c r="F8" s="255">
        <f>'DOE25'!J203+'DOE25'!J221+'DOE25'!J239</f>
        <v>0</v>
      </c>
      <c r="G8" s="53">
        <f>'DOE25'!K203+'DOE25'!K221+'DOE25'!K239</f>
        <v>4755.62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40253.64</v>
      </c>
      <c r="D9" s="244">
        <v>40253.64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83952</v>
      </c>
      <c r="D11" s="244">
        <v>83952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374468.16000000003</v>
      </c>
      <c r="D12" s="20">
        <f>'DOE25'!L204+'DOE25'!L222+'DOE25'!L240-F12-G12</f>
        <v>372052.16000000003</v>
      </c>
      <c r="E12" s="243"/>
      <c r="F12" s="255">
        <f>'DOE25'!J204+'DOE25'!J222+'DOE25'!J240</f>
        <v>0</v>
      </c>
      <c r="G12" s="53">
        <f>'DOE25'!K204+'DOE25'!K222+'DOE25'!K240</f>
        <v>2416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798977.12</v>
      </c>
      <c r="D14" s="20">
        <f>'DOE25'!L206+'DOE25'!L224+'DOE25'!L242-F14-G14</f>
        <v>712490.85000000009</v>
      </c>
      <c r="E14" s="243"/>
      <c r="F14" s="255">
        <f>'DOE25'!J206+'DOE25'!J224+'DOE25'!J242</f>
        <v>85469.45</v>
      </c>
      <c r="G14" s="53">
        <f>'DOE25'!K206+'DOE25'!K224+'DOE25'!K242</f>
        <v>1016.8199999999999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206542.84</v>
      </c>
      <c r="D15" s="20">
        <f>'DOE25'!L207+'DOE25'!L225+'DOE25'!L243-F15-G15</f>
        <v>206102.06</v>
      </c>
      <c r="E15" s="243"/>
      <c r="F15" s="255">
        <f>'DOE25'!J207+'DOE25'!J225+'DOE25'!J243</f>
        <v>0</v>
      </c>
      <c r="G15" s="53">
        <f>'DOE25'!K207+'DOE25'!K225+'DOE25'!K243</f>
        <v>440.78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85000</v>
      </c>
      <c r="D22" s="243"/>
      <c r="E22" s="243"/>
      <c r="F22" s="255">
        <f>'DOE25'!L254+'DOE25'!L335</f>
        <v>85000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470145</v>
      </c>
      <c r="D25" s="243"/>
      <c r="E25" s="243"/>
      <c r="F25" s="258"/>
      <c r="G25" s="256"/>
      <c r="H25" s="257">
        <f>'DOE25'!L259+'DOE25'!L260+'DOE25'!L340+'DOE25'!L341</f>
        <v>470145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195965.03999999998</v>
      </c>
      <c r="D29" s="20">
        <f>'DOE25'!L357+'DOE25'!L358+'DOE25'!L359-'DOE25'!I366-F29-G29</f>
        <v>195856.03999999998</v>
      </c>
      <c r="E29" s="243"/>
      <c r="F29" s="255">
        <f>'DOE25'!J357+'DOE25'!J358+'DOE25'!J359</f>
        <v>109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418736.21</v>
      </c>
      <c r="D31" s="20">
        <f>'DOE25'!L289+'DOE25'!L308+'DOE25'!L327+'DOE25'!L332+'DOE25'!L333+'DOE25'!L334-F31-G31</f>
        <v>361752.31</v>
      </c>
      <c r="E31" s="243"/>
      <c r="F31" s="255">
        <f>'DOE25'!J289+'DOE25'!J308+'DOE25'!J327+'DOE25'!J332+'DOE25'!J333+'DOE25'!J334</f>
        <v>47157.2</v>
      </c>
      <c r="G31" s="53">
        <f>'DOE25'!K289+'DOE25'!K308+'DOE25'!K327+'DOE25'!K332+'DOE25'!K333+'DOE25'!K334</f>
        <v>9826.7000000000007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5886337.7999999998</v>
      </c>
      <c r="E33" s="246">
        <f>SUM(E5:E31)</f>
        <v>193357.38</v>
      </c>
      <c r="F33" s="246">
        <f>SUM(F5:F31)</f>
        <v>274869.75</v>
      </c>
      <c r="G33" s="246">
        <f>SUM(G5:G31)</f>
        <v>38501.800000000003</v>
      </c>
      <c r="H33" s="246">
        <f>SUM(H5:H31)</f>
        <v>470145</v>
      </c>
    </row>
    <row r="35" spans="2:8" ht="12" thickBot="1" x14ac:dyDescent="0.25">
      <c r="B35" s="253" t="s">
        <v>847</v>
      </c>
      <c r="D35" s="254">
        <f>E33</f>
        <v>193357.38</v>
      </c>
      <c r="E35" s="249"/>
    </row>
    <row r="36" spans="2:8" ht="12" thickTop="1" x14ac:dyDescent="0.2">
      <c r="B36" t="s">
        <v>815</v>
      </c>
      <c r="D36" s="20">
        <f>D33</f>
        <v>5886337.7999999998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15" zoomScaleNormal="115" workbookViewId="0">
      <pane ySplit="2" topLeftCell="A12" activePane="bottomLeft" state="frozen"/>
      <selection pane="bottomLeft" activeCell="C28" sqref="C2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517962.65</v>
      </c>
      <c r="D8" s="95">
        <f>'DOE25'!G9</f>
        <v>3630.62</v>
      </c>
      <c r="E8" s="95">
        <f>'DOE25'!H9</f>
        <v>0</v>
      </c>
      <c r="F8" s="95">
        <f>'DOE25'!I9</f>
        <v>0</v>
      </c>
      <c r="G8" s="95">
        <f>'DOE25'!J9</f>
        <v>477201.1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131195.54999999999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72874.91</v>
      </c>
      <c r="D12" s="95">
        <f>'DOE25'!G13</f>
        <v>16116.31</v>
      </c>
      <c r="E12" s="95">
        <f>'DOE25'!H13</f>
        <v>126392.04999999999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701.58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4188.4399999999996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722734.69</v>
      </c>
      <c r="D18" s="41">
        <f>SUM(D8:D17)</f>
        <v>23935.37</v>
      </c>
      <c r="E18" s="41">
        <f>SUM(E8:E17)</f>
        <v>126392.04999999999</v>
      </c>
      <c r="F18" s="41">
        <f>SUM(F8:F17)</f>
        <v>0</v>
      </c>
      <c r="G18" s="41">
        <f>SUM(G8:G17)</f>
        <v>477201.1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5577.37</v>
      </c>
      <c r="E21" s="95">
        <f>'DOE25'!H22</f>
        <v>125618.18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84982.86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1955.59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14385.639999999998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24915.51</v>
      </c>
      <c r="D29" s="95">
        <f>'DOE25'!G30</f>
        <v>0</v>
      </c>
      <c r="E29" s="95">
        <f>'DOE25'!H30</f>
        <v>773.87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124284.01</v>
      </c>
      <c r="D31" s="41">
        <f>SUM(D21:D30)</f>
        <v>7532.96</v>
      </c>
      <c r="E31" s="41">
        <f>SUM(E21:E30)</f>
        <v>126392.04999999999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4188.4399999999996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12213.97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46800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477201.1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551650.68000000005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598450.68000000005</v>
      </c>
      <c r="D49" s="41">
        <f>SUM(D34:D48)</f>
        <v>16402.41</v>
      </c>
      <c r="E49" s="41">
        <f>SUM(E34:E48)</f>
        <v>0</v>
      </c>
      <c r="F49" s="41">
        <f>SUM(F34:F48)</f>
        <v>0</v>
      </c>
      <c r="G49" s="41">
        <f>SUM(G34:G48)</f>
        <v>477201.1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722734.69000000006</v>
      </c>
      <c r="D50" s="41">
        <f>D49+D31</f>
        <v>23935.37</v>
      </c>
      <c r="E50" s="41">
        <f>E49+E31</f>
        <v>126392.04999999999</v>
      </c>
      <c r="F50" s="41">
        <f>F49+F31</f>
        <v>0</v>
      </c>
      <c r="G50" s="41">
        <f>G49+G31</f>
        <v>477201.1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1455239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1809003.9300000002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403.11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4570.93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76582.759999999995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183012.69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1992419.7300000002</v>
      </c>
      <c r="D61" s="130">
        <f>SUM(D56:D60)</f>
        <v>76582.759999999995</v>
      </c>
      <c r="E61" s="130">
        <f>SUM(E56:E60)</f>
        <v>0</v>
      </c>
      <c r="F61" s="130">
        <f>SUM(F56:F60)</f>
        <v>0</v>
      </c>
      <c r="G61" s="130">
        <f>SUM(G56:G60)</f>
        <v>4570.93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3447658.7300000004</v>
      </c>
      <c r="D62" s="22">
        <f>D55+D61</f>
        <v>76582.759999999995</v>
      </c>
      <c r="E62" s="22">
        <f>E55+E61</f>
        <v>0</v>
      </c>
      <c r="F62" s="22">
        <f>F55+F61</f>
        <v>0</v>
      </c>
      <c r="G62" s="22">
        <f>G55+G61</f>
        <v>4570.93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2067203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380312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2447515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263215.89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412.57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263215.89</v>
      </c>
      <c r="D77" s="130">
        <f>SUM(D71:D76)</f>
        <v>412.57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2710730.89</v>
      </c>
      <c r="D80" s="130">
        <f>SUM(D78:D79)+D77+D69</f>
        <v>412.57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7495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5534.87</v>
      </c>
      <c r="D87" s="95">
        <f>SUM('DOE25'!G152:G160)</f>
        <v>103641.17</v>
      </c>
      <c r="E87" s="95">
        <f>SUM('DOE25'!H152:H160)</f>
        <v>411241.21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5534.87</v>
      </c>
      <c r="D90" s="131">
        <f>SUM(D84:D89)</f>
        <v>103641.17</v>
      </c>
      <c r="E90" s="131">
        <f>SUM(E84:E89)</f>
        <v>418736.21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11000</v>
      </c>
      <c r="E95" s="95">
        <f>'DOE25'!H178</f>
        <v>0</v>
      </c>
      <c r="F95" s="95">
        <f>'DOE25'!I178</f>
        <v>0</v>
      </c>
      <c r="G95" s="95">
        <f>'DOE25'!J178</f>
        <v>49235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108587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108587</v>
      </c>
      <c r="D102" s="86">
        <f>SUM(D92:D101)</f>
        <v>11000</v>
      </c>
      <c r="E102" s="86">
        <f>SUM(E92:E101)</f>
        <v>0</v>
      </c>
      <c r="F102" s="86">
        <f>SUM(F92:F101)</f>
        <v>0</v>
      </c>
      <c r="G102" s="86">
        <f>SUM(G92:G101)</f>
        <v>49235</v>
      </c>
    </row>
    <row r="103" spans="1:7" ht="12.75" thickTop="1" thickBot="1" x14ac:dyDescent="0.25">
      <c r="A103" s="33" t="s">
        <v>765</v>
      </c>
      <c r="C103" s="86">
        <f>C62+C80+C90+C102</f>
        <v>6272511.4900000012</v>
      </c>
      <c r="D103" s="86">
        <f>D62+D80+D90+D102</f>
        <v>191636.5</v>
      </c>
      <c r="E103" s="86">
        <f>E62+E80+E90+E102</f>
        <v>418736.21</v>
      </c>
      <c r="F103" s="86">
        <f>F62+F80+F90+F102</f>
        <v>0</v>
      </c>
      <c r="G103" s="86">
        <f>G62+G80+G102</f>
        <v>53805.93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2478921.3899999997</v>
      </c>
      <c r="D108" s="24" t="s">
        <v>289</v>
      </c>
      <c r="E108" s="95">
        <f>('DOE25'!L275)+('DOE25'!L294)+('DOE25'!L313)</f>
        <v>6367.88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651458.19999999995</v>
      </c>
      <c r="D109" s="24" t="s">
        <v>289</v>
      </c>
      <c r="E109" s="95">
        <f>('DOE25'!L276)+('DOE25'!L295)+('DOE25'!L314)</f>
        <v>241119.94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22500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111690.33000000002</v>
      </c>
      <c r="D111" s="24" t="s">
        <v>289</v>
      </c>
      <c r="E111" s="95">
        <f>+('DOE25'!L278)+('DOE25'!L297)+('DOE25'!L316)</f>
        <v>4802.2700000000004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3264569.92</v>
      </c>
      <c r="D114" s="86">
        <f>SUM(D108:D113)</f>
        <v>0</v>
      </c>
      <c r="E114" s="86">
        <f>SUM(E108:E113)</f>
        <v>252290.09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602490.54</v>
      </c>
      <c r="D117" s="24" t="s">
        <v>289</v>
      </c>
      <c r="E117" s="95">
        <f>+('DOE25'!L280)+('DOE25'!L299)+('DOE25'!L318)</f>
        <v>44798.34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123998.26</v>
      </c>
      <c r="D118" s="24" t="s">
        <v>289</v>
      </c>
      <c r="E118" s="95">
        <f>+('DOE25'!L281)+('DOE25'!L300)+('DOE25'!L319)</f>
        <v>113493.46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312818.64</v>
      </c>
      <c r="D119" s="24" t="s">
        <v>289</v>
      </c>
      <c r="E119" s="95">
        <f>+('DOE25'!L282)+('DOE25'!L301)+('DOE25'!L320)</f>
        <v>4954.32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374468.16000000003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3200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798977.12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206542.84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196022.24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2419295.56</v>
      </c>
      <c r="D127" s="86">
        <f>SUM(D117:D126)</f>
        <v>196022.24</v>
      </c>
      <c r="E127" s="86">
        <f>SUM(E117:E126)</f>
        <v>166446.12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85000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80145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11000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53805.93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-4570.93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22236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637616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6321481.4800000004</v>
      </c>
      <c r="D144" s="86">
        <f>(D114+D127+D143)</f>
        <v>196022.24</v>
      </c>
      <c r="E144" s="86">
        <f>(E114+E127+E143)</f>
        <v>418736.20999999996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06/15/01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07/15/2016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5840000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4.3749000000000002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1950000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390000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390000</v>
      </c>
    </row>
    <row r="158" spans="1:9" x14ac:dyDescent="0.2">
      <c r="A158" s="22" t="s">
        <v>35</v>
      </c>
      <c r="B158" s="137">
        <f>'DOE25'!F497</f>
        <v>1560000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1560000</v>
      </c>
    </row>
    <row r="159" spans="1:9" x14ac:dyDescent="0.2">
      <c r="A159" s="22" t="s">
        <v>36</v>
      </c>
      <c r="B159" s="137">
        <f>'DOE25'!F498</f>
        <v>144105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144105</v>
      </c>
    </row>
    <row r="160" spans="1:9" x14ac:dyDescent="0.2">
      <c r="A160" s="22" t="s">
        <v>37</v>
      </c>
      <c r="B160" s="137">
        <f>'DOE25'!F499</f>
        <v>1704105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1704105</v>
      </c>
    </row>
    <row r="161" spans="1:7" x14ac:dyDescent="0.2">
      <c r="A161" s="22" t="s">
        <v>38</v>
      </c>
      <c r="B161" s="137">
        <f>'DOE25'!F500</f>
        <v>390000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390000</v>
      </c>
    </row>
    <row r="162" spans="1:7" x14ac:dyDescent="0.2">
      <c r="A162" s="22" t="s">
        <v>39</v>
      </c>
      <c r="B162" s="137">
        <f>'DOE25'!F501</f>
        <v>62595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62595</v>
      </c>
    </row>
    <row r="163" spans="1:7" x14ac:dyDescent="0.2">
      <c r="A163" s="22" t="s">
        <v>246</v>
      </c>
      <c r="B163" s="137">
        <f>'DOE25'!F502</f>
        <v>452595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452595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15" sqref="G1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COLEBROOK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13404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16765</v>
      </c>
    </row>
    <row r="7" spans="1:4" x14ac:dyDescent="0.2">
      <c r="B7" t="s">
        <v>705</v>
      </c>
      <c r="C7" s="179">
        <f>IF('DOE25'!I664+'DOE25'!I669=0,0,ROUND('DOE25'!I671,0))</f>
        <v>14524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2485289</v>
      </c>
      <c r="D10" s="182">
        <f>ROUND((C10/$C$28)*100,1)</f>
        <v>39.299999999999997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892578</v>
      </c>
      <c r="D11" s="182">
        <f>ROUND((C11/$C$28)*100,1)</f>
        <v>14.1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22500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116493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647289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237492</v>
      </c>
      <c r="D16" s="182">
        <f t="shared" si="0"/>
        <v>3.8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317773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374468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3200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798977</v>
      </c>
      <c r="D20" s="182">
        <f t="shared" si="0"/>
        <v>12.6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206543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80145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22236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119439.24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6324422.2400000002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85000</v>
      </c>
    </row>
    <row r="30" spans="1:4" x14ac:dyDescent="0.2">
      <c r="B30" s="187" t="s">
        <v>729</v>
      </c>
      <c r="C30" s="180">
        <f>SUM(C28:C29)</f>
        <v>6409422.2400000002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390000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1455239</v>
      </c>
      <c r="D35" s="182">
        <f t="shared" ref="D35:D40" si="1">ROUND((C35/$C$41)*100,1)</f>
        <v>21.7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1996990.6600000001</v>
      </c>
      <c r="D36" s="182">
        <f t="shared" si="1"/>
        <v>29.8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2447515</v>
      </c>
      <c r="D37" s="182">
        <f t="shared" si="1"/>
        <v>36.6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263628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527912</v>
      </c>
      <c r="D39" s="182">
        <f t="shared" si="1"/>
        <v>7.9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6691284.6600000001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COLEBROOK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2013-08-28T14:12:09Z</cp:lastPrinted>
  <dcterms:created xsi:type="dcterms:W3CDTF">1997-12-04T19:04:30Z</dcterms:created>
  <dcterms:modified xsi:type="dcterms:W3CDTF">2013-12-05T18:37:39Z</dcterms:modified>
</cp:coreProperties>
</file>