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0" yWindow="255" windowWidth="15360" windowHeight="83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6" i="1" l="1"/>
  <c r="F117" i="1"/>
  <c r="G447" i="1"/>
  <c r="G440" i="1"/>
  <c r="D11" i="13"/>
  <c r="J379" i="1"/>
  <c r="H379" i="1"/>
  <c r="I378" i="1"/>
  <c r="H378" i="1"/>
  <c r="H377" i="1"/>
  <c r="H375" i="1"/>
  <c r="H207" i="1"/>
  <c r="H254" i="1"/>
  <c r="J178" i="1"/>
  <c r="K265" i="1"/>
  <c r="F366" i="1"/>
  <c r="F501" i="1"/>
  <c r="G458" i="1"/>
  <c r="G439" i="1"/>
  <c r="I357" i="1"/>
  <c r="I399" i="1"/>
  <c r="H399" i="1"/>
  <c r="G399" i="1"/>
  <c r="K379" i="1"/>
  <c r="I379" i="1"/>
  <c r="G379" i="1"/>
  <c r="F379" i="1"/>
  <c r="K377" i="1"/>
  <c r="I359" i="1"/>
  <c r="I358" i="1"/>
  <c r="H367" i="1"/>
  <c r="G367" i="1"/>
  <c r="F367" i="1"/>
  <c r="H366" i="1"/>
  <c r="G366" i="1"/>
  <c r="K359" i="1"/>
  <c r="H359" i="1"/>
  <c r="G359" i="1"/>
  <c r="F359" i="1"/>
  <c r="K358" i="1"/>
  <c r="H358" i="1"/>
  <c r="G358" i="1"/>
  <c r="F358" i="1"/>
  <c r="K357" i="1"/>
  <c r="H357" i="1"/>
  <c r="G357" i="1"/>
  <c r="F357" i="1"/>
  <c r="J359" i="1"/>
  <c r="J358" i="1"/>
  <c r="J357" i="1"/>
  <c r="K343" i="1"/>
  <c r="H324" i="1"/>
  <c r="J319" i="1"/>
  <c r="I319" i="1"/>
  <c r="H319" i="1"/>
  <c r="G319" i="1"/>
  <c r="F319" i="1"/>
  <c r="J300" i="1"/>
  <c r="I300" i="1"/>
  <c r="H300" i="1"/>
  <c r="G300" i="1"/>
  <c r="F300" i="1"/>
  <c r="J281" i="1"/>
  <c r="I281" i="1"/>
  <c r="H281" i="1"/>
  <c r="G281" i="1"/>
  <c r="F281" i="1"/>
  <c r="H318" i="1"/>
  <c r="G318" i="1"/>
  <c r="F318" i="1"/>
  <c r="H299" i="1"/>
  <c r="G299" i="1"/>
  <c r="F299" i="1"/>
  <c r="H280" i="1"/>
  <c r="G280" i="1"/>
  <c r="F280" i="1"/>
  <c r="I314" i="1"/>
  <c r="H314" i="1"/>
  <c r="I295" i="1"/>
  <c r="H295" i="1"/>
  <c r="I276" i="1"/>
  <c r="H276" i="1"/>
  <c r="I313" i="1"/>
  <c r="H313" i="1"/>
  <c r="I294" i="1"/>
  <c r="H294" i="1"/>
  <c r="I275" i="1"/>
  <c r="H275" i="1"/>
  <c r="I299" i="1"/>
  <c r="F276" i="1"/>
  <c r="H335" i="1"/>
  <c r="H305" i="1"/>
  <c r="H286" i="1"/>
  <c r="K319" i="1"/>
  <c r="I280" i="1"/>
  <c r="J332" i="1"/>
  <c r="I332" i="1"/>
  <c r="H332" i="1"/>
  <c r="G332" i="1"/>
  <c r="F332" i="1"/>
  <c r="G316" i="1"/>
  <c r="F316" i="1"/>
  <c r="G297" i="1"/>
  <c r="F297" i="1"/>
  <c r="I278" i="1"/>
  <c r="G278" i="1"/>
  <c r="F278" i="1"/>
  <c r="I316" i="1"/>
  <c r="I297" i="1"/>
  <c r="H316" i="1"/>
  <c r="J315" i="1"/>
  <c r="I315" i="1"/>
  <c r="H315" i="1"/>
  <c r="G315" i="1"/>
  <c r="F315" i="1"/>
  <c r="G314" i="1"/>
  <c r="F314" i="1"/>
  <c r="G295" i="1"/>
  <c r="F295" i="1"/>
  <c r="G276" i="1"/>
  <c r="J313" i="1"/>
  <c r="G313" i="1"/>
  <c r="F313" i="1"/>
  <c r="J294" i="1"/>
  <c r="G275" i="1"/>
  <c r="F275" i="1"/>
  <c r="G207" i="1"/>
  <c r="G242" i="1"/>
  <c r="G224" i="1"/>
  <c r="G206" i="1"/>
  <c r="G240" i="1"/>
  <c r="G222" i="1"/>
  <c r="G204" i="1"/>
  <c r="G238" i="1"/>
  <c r="G220" i="1"/>
  <c r="G202" i="1"/>
  <c r="G237" i="1"/>
  <c r="G219" i="1"/>
  <c r="G201" i="1"/>
  <c r="G250" i="1"/>
  <c r="G235" i="1"/>
  <c r="G217" i="1"/>
  <c r="G199" i="1"/>
  <c r="C36" i="12" s="1"/>
  <c r="G234" i="1"/>
  <c r="C27" i="12" s="1"/>
  <c r="G233" i="1"/>
  <c r="G215" i="1"/>
  <c r="G197" i="1"/>
  <c r="C18" i="12" s="1"/>
  <c r="G232" i="1"/>
  <c r="G214" i="1"/>
  <c r="G196" i="1"/>
  <c r="F232" i="1"/>
  <c r="F214" i="1"/>
  <c r="F196" i="1"/>
  <c r="B9" i="12" s="1"/>
  <c r="K260" i="1"/>
  <c r="K259" i="1"/>
  <c r="K244" i="1"/>
  <c r="H244" i="1"/>
  <c r="G244" i="1"/>
  <c r="F244" i="1"/>
  <c r="K226" i="1"/>
  <c r="H226" i="1"/>
  <c r="G226" i="1"/>
  <c r="F226" i="1"/>
  <c r="H208" i="1"/>
  <c r="G208" i="1"/>
  <c r="F208" i="1"/>
  <c r="I243" i="1"/>
  <c r="H243" i="1"/>
  <c r="G243" i="1"/>
  <c r="F243" i="1"/>
  <c r="K225" i="1"/>
  <c r="I225" i="1"/>
  <c r="H225" i="1"/>
  <c r="G225" i="1"/>
  <c r="F225" i="1"/>
  <c r="F207" i="1"/>
  <c r="K242" i="1"/>
  <c r="J242" i="1"/>
  <c r="I242" i="1"/>
  <c r="H242" i="1"/>
  <c r="F242" i="1"/>
  <c r="K224" i="1"/>
  <c r="J224" i="1"/>
  <c r="I224" i="1"/>
  <c r="H224" i="1"/>
  <c r="F224" i="1"/>
  <c r="K206" i="1"/>
  <c r="J206" i="1"/>
  <c r="I206" i="1"/>
  <c r="H206" i="1"/>
  <c r="F206" i="1"/>
  <c r="K241" i="1"/>
  <c r="J241" i="1"/>
  <c r="I241" i="1"/>
  <c r="H241" i="1"/>
  <c r="G241" i="1"/>
  <c r="F241" i="1"/>
  <c r="K223" i="1"/>
  <c r="J223" i="1"/>
  <c r="I223" i="1"/>
  <c r="H223" i="1"/>
  <c r="G223" i="1"/>
  <c r="F223" i="1"/>
  <c r="K205" i="1"/>
  <c r="J205" i="1"/>
  <c r="I205" i="1"/>
  <c r="H205" i="1"/>
  <c r="G205" i="1"/>
  <c r="F205" i="1"/>
  <c r="K239" i="1"/>
  <c r="I239" i="1"/>
  <c r="H239" i="1"/>
  <c r="G239" i="1"/>
  <c r="F239" i="1"/>
  <c r="I221" i="1"/>
  <c r="H221" i="1"/>
  <c r="G221" i="1"/>
  <c r="F221" i="1"/>
  <c r="I203" i="1"/>
  <c r="H203" i="1"/>
  <c r="G203" i="1"/>
  <c r="F203" i="1"/>
  <c r="J238" i="1"/>
  <c r="I238" i="1"/>
  <c r="H238" i="1"/>
  <c r="F238" i="1"/>
  <c r="J219" i="1"/>
  <c r="I220" i="1"/>
  <c r="H220" i="1"/>
  <c r="F220" i="1"/>
  <c r="J202" i="1"/>
  <c r="I202" i="1"/>
  <c r="H202" i="1"/>
  <c r="F202" i="1"/>
  <c r="K237" i="1"/>
  <c r="J237" i="1"/>
  <c r="H237" i="1"/>
  <c r="I237" i="1"/>
  <c r="F237" i="1"/>
  <c r="I219" i="1"/>
  <c r="H219" i="1"/>
  <c r="F219" i="1"/>
  <c r="K201" i="1"/>
  <c r="J201" i="1"/>
  <c r="I201" i="1"/>
  <c r="H201" i="1"/>
  <c r="F201" i="1"/>
  <c r="F235" i="1"/>
  <c r="F217" i="1"/>
  <c r="F199" i="1"/>
  <c r="B36" i="12" s="1"/>
  <c r="J233" i="1"/>
  <c r="I233" i="1"/>
  <c r="H233" i="1"/>
  <c r="F233" i="1"/>
  <c r="J215" i="1"/>
  <c r="I215" i="1"/>
  <c r="H215" i="1"/>
  <c r="F215" i="1"/>
  <c r="J197" i="1"/>
  <c r="I197" i="1"/>
  <c r="H197" i="1"/>
  <c r="F197" i="1"/>
  <c r="B18" i="12" s="1"/>
  <c r="I232" i="1"/>
  <c r="H232" i="1"/>
  <c r="I214" i="1"/>
  <c r="H214" i="1"/>
  <c r="I196" i="1"/>
  <c r="H196" i="1"/>
  <c r="J240" i="1"/>
  <c r="I240" i="1"/>
  <c r="H240" i="1"/>
  <c r="K240" i="1"/>
  <c r="F240" i="1"/>
  <c r="I234" i="1"/>
  <c r="H234" i="1"/>
  <c r="F234" i="1"/>
  <c r="B27" i="12" s="1"/>
  <c r="K234" i="1"/>
  <c r="J234" i="1"/>
  <c r="K233" i="1"/>
  <c r="K232" i="1"/>
  <c r="J232" i="1"/>
  <c r="K222" i="1"/>
  <c r="I222" i="1"/>
  <c r="H222" i="1"/>
  <c r="F222" i="1"/>
  <c r="J220" i="1"/>
  <c r="K217" i="1"/>
  <c r="J217" i="1"/>
  <c r="I217" i="1"/>
  <c r="H217" i="1"/>
  <c r="K196" i="1"/>
  <c r="J196" i="1"/>
  <c r="J95" i="1"/>
  <c r="G96" i="1"/>
  <c r="F97" i="1"/>
  <c r="F85" i="1"/>
  <c r="F68" i="1"/>
  <c r="F62" i="1"/>
  <c r="F63" i="1"/>
  <c r="I47" i="1"/>
  <c r="H47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J616" i="1" s="1"/>
  <c r="G50" i="1"/>
  <c r="G51" i="1" s="1"/>
  <c r="H617" i="1" s="1"/>
  <c r="H50" i="1"/>
  <c r="H51" i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L256" i="1"/>
  <c r="L270" i="1" s="1"/>
  <c r="G631" i="1" s="1"/>
  <c r="J631" i="1" s="1"/>
  <c r="K256" i="1"/>
  <c r="K270" i="1"/>
  <c r="I256" i="1"/>
  <c r="I270" i="1"/>
  <c r="G256" i="1"/>
  <c r="G270" i="1"/>
  <c r="G159" i="2"/>
  <c r="C18" i="2"/>
  <c r="F31" i="2"/>
  <c r="C26" i="10"/>
  <c r="L327" i="1"/>
  <c r="H659" i="1" s="1"/>
  <c r="L350" i="1"/>
  <c r="I661" i="1"/>
  <c r="L289" i="1"/>
  <c r="F659" i="1"/>
  <c r="C69" i="2"/>
  <c r="D12" i="13"/>
  <c r="C12" i="13" s="1"/>
  <c r="G161" i="2"/>
  <c r="D61" i="2"/>
  <c r="D62" i="2" s="1"/>
  <c r="D103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/>
  <c r="D19" i="13"/>
  <c r="C19" i="13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/>
  <c r="J622" i="1" s="1"/>
  <c r="G337" i="1"/>
  <c r="G351" i="1" s="1"/>
  <c r="F168" i="1"/>
  <c r="J139" i="1"/>
  <c r="F570" i="1"/>
  <c r="H256" i="1"/>
  <c r="H270" i="1"/>
  <c r="F663" i="1"/>
  <c r="F671" i="1"/>
  <c r="C4" i="10" s="1"/>
  <c r="K597" i="1"/>
  <c r="G646" i="1" s="1"/>
  <c r="J646" i="1" s="1"/>
  <c r="K544" i="1"/>
  <c r="C29" i="10"/>
  <c r="I660" i="1"/>
  <c r="H139" i="1"/>
  <c r="L400" i="1"/>
  <c r="C138" i="2" s="1"/>
  <c r="L392" i="1"/>
  <c r="F22" i="13"/>
  <c r="H25" i="13"/>
  <c r="C25" i="13" s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C35" i="10"/>
  <c r="L308" i="1"/>
  <c r="D5" i="13"/>
  <c r="C5" i="13"/>
  <c r="E16" i="13"/>
  <c r="E33" i="13"/>
  <c r="D35" i="13" s="1"/>
  <c r="C49" i="2"/>
  <c r="C50" i="2" s="1"/>
  <c r="J654" i="1"/>
  <c r="J644" i="1"/>
  <c r="L569" i="1"/>
  <c r="I570" i="1"/>
  <c r="I544" i="1"/>
  <c r="L564" i="1"/>
  <c r="G544" i="1"/>
  <c r="L544" i="1"/>
  <c r="H544" i="1"/>
  <c r="C22" i="13"/>
  <c r="C137" i="2"/>
  <c r="C16" i="13"/>
  <c r="H33" i="13"/>
  <c r="F666" i="1"/>
  <c r="C24" i="10"/>
  <c r="G659" i="1"/>
  <c r="G31" i="13"/>
  <c r="G33" i="13"/>
  <c r="I337" i="1"/>
  <c r="I351" i="1"/>
  <c r="L406" i="1"/>
  <c r="C139" i="2" s="1"/>
  <c r="L570" i="1"/>
  <c r="I191" i="1"/>
  <c r="E90" i="2"/>
  <c r="D50" i="2"/>
  <c r="J653" i="1"/>
  <c r="J652" i="1"/>
  <c r="F143" i="2"/>
  <c r="F144" i="2"/>
  <c r="L433" i="1"/>
  <c r="G637" i="1" s="1"/>
  <c r="J637" i="1"/>
  <c r="J433" i="1"/>
  <c r="F433" i="1"/>
  <c r="K433" i="1"/>
  <c r="G133" i="2"/>
  <c r="G143" i="2" s="1"/>
  <c r="G144" i="2" s="1"/>
  <c r="F31" i="13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J617" i="1"/>
  <c r="F33" i="13"/>
  <c r="D31" i="13"/>
  <c r="C31" i="13" s="1"/>
  <c r="F544" i="1"/>
  <c r="H433" i="1"/>
  <c r="J619" i="1"/>
  <c r="J618" i="1"/>
  <c r="D102" i="2"/>
  <c r="I139" i="1"/>
  <c r="I192" i="1" s="1"/>
  <c r="G629" i="1" s="1"/>
  <c r="J629" i="1" s="1"/>
  <c r="H647" i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D33" i="13"/>
  <c r="D36" i="13" s="1"/>
  <c r="G192" i="1"/>
  <c r="G627" i="1"/>
  <c r="J627" i="1" s="1"/>
  <c r="C38" i="10"/>
  <c r="L336" i="1"/>
  <c r="L337" i="1" s="1"/>
  <c r="L351" i="1" s="1"/>
  <c r="G632" i="1" s="1"/>
  <c r="J632" i="1" s="1"/>
  <c r="G163" i="2" l="1"/>
  <c r="C36" i="10"/>
  <c r="C41" i="10" s="1"/>
  <c r="J192" i="1"/>
  <c r="D24" i="10"/>
  <c r="D23" i="10"/>
  <c r="D16" i="10"/>
  <c r="C30" i="10"/>
  <c r="D26" i="10"/>
  <c r="D10" i="10"/>
  <c r="D22" i="10"/>
  <c r="D21" i="10"/>
  <c r="D11" i="10"/>
  <c r="D13" i="10"/>
  <c r="G160" i="2"/>
  <c r="J50" i="1"/>
  <c r="G625" i="1" s="1"/>
  <c r="J625" i="1" s="1"/>
  <c r="G36" i="2"/>
  <c r="G49" i="2" s="1"/>
  <c r="G11" i="2"/>
  <c r="G18" i="2" s="1"/>
  <c r="J19" i="1"/>
  <c r="G620" i="1" s="1"/>
  <c r="C140" i="2"/>
  <c r="J650" i="1"/>
  <c r="J648" i="1"/>
  <c r="C9" i="12"/>
  <c r="J649" i="1"/>
  <c r="J635" i="1"/>
  <c r="G663" i="1"/>
  <c r="H663" i="1"/>
  <c r="I659" i="1"/>
  <c r="I663" i="1" s="1"/>
  <c r="C143" i="2"/>
  <c r="C144" i="2" s="1"/>
  <c r="G21" i="2"/>
  <c r="G31" i="2" s="1"/>
  <c r="J32" i="1"/>
  <c r="J51" i="1" s="1"/>
  <c r="H620" i="1" s="1"/>
  <c r="J620" i="1" s="1"/>
  <c r="I551" i="1"/>
  <c r="G551" i="1"/>
  <c r="K549" i="1"/>
  <c r="B30" i="12"/>
  <c r="C28" i="12"/>
  <c r="C29" i="12"/>
  <c r="B21" i="12"/>
  <c r="C19" i="12"/>
  <c r="C20" i="12"/>
  <c r="B39" i="12"/>
  <c r="C37" i="12"/>
  <c r="C38" i="12"/>
  <c r="D40" i="10"/>
  <c r="D36" i="10"/>
  <c r="D27" i="10"/>
  <c r="D20" i="10"/>
  <c r="D18" i="10"/>
  <c r="D15" i="10"/>
  <c r="D17" i="10"/>
  <c r="D25" i="10"/>
  <c r="D12" i="10"/>
  <c r="D19" i="10"/>
  <c r="J551" i="1"/>
  <c r="H551" i="1"/>
  <c r="K550" i="1"/>
  <c r="F551" i="1"/>
  <c r="K548" i="1"/>
  <c r="K551" i="1" s="1"/>
  <c r="B12" i="12"/>
  <c r="C10" i="12"/>
  <c r="C11" i="12"/>
  <c r="L407" i="1"/>
  <c r="D28" i="10" l="1"/>
  <c r="G50" i="2"/>
  <c r="G671" i="1"/>
  <c r="C5" i="10" s="1"/>
  <c r="G666" i="1"/>
  <c r="G645" i="1"/>
  <c r="G630" i="1"/>
  <c r="J630" i="1" s="1"/>
  <c r="D38" i="10"/>
  <c r="D37" i="10"/>
  <c r="D39" i="10"/>
  <c r="D35" i="10"/>
  <c r="D41" i="10" s="1"/>
  <c r="C21" i="12"/>
  <c r="B22" i="12"/>
  <c r="C30" i="12"/>
  <c r="B31" i="12"/>
  <c r="H666" i="1"/>
  <c r="H671" i="1"/>
  <c r="C6" i="10" s="1"/>
  <c r="G636" i="1"/>
  <c r="H645" i="1"/>
  <c r="J645" i="1" s="1"/>
  <c r="C12" i="12"/>
  <c r="C13" i="12" s="1"/>
  <c r="B13" i="12"/>
  <c r="C39" i="12"/>
  <c r="C40" i="12" s="1"/>
  <c r="B40" i="12"/>
  <c r="C22" i="12"/>
  <c r="C31" i="12"/>
  <c r="I671" i="1"/>
  <c r="C7" i="10" s="1"/>
  <c r="I666" i="1"/>
  <c r="A13" i="12" l="1"/>
  <c r="A31" i="12"/>
  <c r="A22" i="12"/>
  <c r="A40" i="12"/>
  <c r="J636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<sst xmlns="http://schemas.openxmlformats.org/spreadsheetml/2006/main" count="3950" uniqueCount="916">
  <si>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</si>
  <si>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</si>
  <si>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</si>
  <si>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</si>
  <si>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</si>
  <si>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</si>
  <si>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</si>
  <si>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</si>
  <si>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</si>
  <si>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</si>
  <si>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</si>
  <si>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</si>
  <si>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</si>
  <si>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</si>
  <si>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</si>
  <si>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</si>
  <si>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</si>
  <si>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</si>
  <si>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</si>
  <si>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</si>
  <si>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</si>
  <si>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</si>
  <si>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</si>
  <si>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</si>
  <si>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</si>
  <si>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</si>
  <si>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</si>
  <si>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</si>
  <si>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</si>
  <si>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</si>
  <si>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</si>
  <si>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</si>
  <si>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</si>
  <si>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</si>
  <si>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</si>
  <si>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</si>
  <si>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</si>
  <si>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</si>
  <si>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</si>
  <si>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</si>
  <si>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</si>
  <si>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</si>
  <si>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</si>
  <si>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</si>
  <si>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</si>
  <si>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</si>
  <si>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</si>
  <si>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</si>
  <si>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</si>
  <si>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</si>
  <si>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</si>
  <si>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</si>
  <si>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</si>
  <si>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</si>
  <si>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</si>
  <si>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</si>
  <si>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</si>
  <si>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</si>
  <si>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</si>
  <si>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</si>
  <si>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</si>
  <si>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</si>
  <si>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</si>
  <si>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</si>
  <si>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</si>
  <si>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</si>
  <si>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</si>
  <si>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</si>
  <si>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</si>
  <si>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</si>
  <si>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</si>
  <si>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</si>
  <si>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</si>
  <si>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</si>
  <si>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</si>
  <si>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</si>
  <si>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</si>
  <si>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</si>
  <si>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</si>
  <si>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</si>
  <si>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</si>
  <si>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</si>
  <si>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</si>
  <si>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</si>
  <si>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</si>
  <si>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</si>
  <si>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</si>
  <si>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</si>
  <si>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</si>
  <si>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</si>
  <si>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</si>
  <si>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</si>
  <si>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</si>
  <si>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</si>
  <si>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</si>
  <si>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</si>
  <si>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</si>
  <si>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</si>
  <si>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</si>
  <si>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</si>
  <si>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</si>
  <si>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</si>
  <si>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</si>
  <si>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</si>
  <si>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</si>
  <si>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</si>
  <si>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</si>
  <si>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</si>
  <si>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</si>
  <si>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</si>
  <si>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</si>
  <si>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</si>
  <si>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</si>
  <si>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</si>
  <si>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</si>
  <si>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</si>
  <si>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</si>
  <si>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</si>
  <si>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</si>
  <si>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</si>
  <si>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</si>
  <si>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</si>
  <si>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</si>
  <si>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</si>
  <si>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</si>
  <si>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</si>
  <si>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</si>
  <si>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</si>
  <si>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</si>
  <si>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</si>
  <si>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</si>
  <si>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</si>
  <si>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</si>
  <si>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</si>
  <si>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</si>
  <si>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</si>
  <si>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</si>
  <si>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</si>
  <si>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</si>
  <si>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</si>
  <si>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</si>
  <si>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</si>
  <si>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</si>
  <si>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</si>
  <si>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</si>
  <si>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</si>
  <si>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</si>
  <si>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</si>
  <si>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</si>
  <si>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</si>
  <si>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</si>
  <si>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</si>
  <si>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</si>
  <si>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</si>
  <si>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</si>
  <si>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</si>
  <si>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</si>
  <si>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</si>
  <si>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</si>
  <si>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</si>
  <si>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</si>
  <si>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</si>
  <si>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</si>
  <si>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</si>
  <si>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</si>
  <si>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</si>
  <si>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</si>
  <si>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</si>
  <si>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</si>
  <si>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</si>
  <si>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</si>
  <si>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</si>
  <si>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</si>
  <si>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</si>
  <si>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</si>
  <si>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</si>
  <si>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</si>
  <si>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</si>
  <si>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</si>
  <si>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</si>
  <si>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</si>
  <si>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</si>
  <si>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</si>
  <si>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</si>
  <si>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</si>
  <si>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</si>
  <si>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</si>
  <si>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</si>
  <si>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</si>
  <si>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</si>
  <si>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</si>
  <si>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</si>
  <si>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</si>
  <si>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</si>
  <si>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</si>
  <si>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</si>
  <si>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</si>
  <si>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</si>
  <si>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</si>
  <si>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</si>
  <si>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</si>
  <si>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</si>
  <si>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</si>
  <si>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</si>
  <si>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</si>
  <si>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</si>
  <si>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</si>
  <si>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</si>
  <si>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</si>
  <si>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</si>
  <si>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</si>
  <si>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</si>
  <si>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</si>
  <si>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</si>
  <si>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</si>
  <si>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</si>
  <si>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</si>
  <si>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</si>
  <si>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</si>
  <si>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</si>
  <si>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</si>
  <si>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</si>
  <si>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</si>
  <si>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</si>
  <si>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</si>
  <si>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</si>
  <si>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</si>
  <si>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</si>
  <si>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</si>
  <si>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</si>
  <si>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</si>
  <si>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</si>
  <si>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</si>
  <si>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</si>
  <si>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</si>
  <si>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</si>
  <si>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</si>
  <si>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</si>
  <si>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</si>
  <si>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</si>
  <si>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</si>
  <si>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</si>
  <si>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</si>
  <si>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</si>
  <si>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</si>
  <si>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</si>
  <si>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</si>
  <si>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</si>
  <si>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</si>
  <si>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</si>
  <si>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</si>
  <si>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</si>
  <si>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</si>
  <si>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</si>
  <si>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</si>
  <si>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</si>
  <si>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</si>
  <si>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</si>
  <si>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</si>
  <si>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</si>
  <si>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</si>
  <si>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</si>
  <si>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</si>
  <si>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</si>
  <si>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</si>
  <si>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</si>
  <si>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</si>
  <si>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</si>
  <si>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</si>
  <si>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</si>
  <si>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</si>
  <si>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</si>
  <si>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</si>
  <si>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</si>
  <si>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</si>
  <si>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</si>
  <si>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</si>
  <si>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</si>
  <si>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</si>
  <si>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</si>
  <si>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</si>
  <si>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</si>
  <si>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</si>
  <si>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</si>
  <si>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</si>
  <si>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</si>
  <si>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</si>
  <si>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</si>
  <si>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</si>
  <si>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</si>
  <si>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</si>
  <si>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</si>
  <si>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</si>
  <si>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</si>
  <si>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</si>
  <si>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</si>
  <si>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</si>
  <si>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</si>
  <si>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</si>
  <si>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</si>
  <si>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</si>
  <si>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</si>
  <si>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</si>
  <si>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</si>
  <si>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</si>
  <si>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</si>
  <si>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</si>
  <si>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</si>
  <si>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</si>
  <si>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</si>
  <si>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</si>
  <si>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</si>
  <si>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</si>
  <si>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</si>
  <si>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</si>
  <si>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</si>
  <si>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</si>
  <si>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</si>
  <si>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</si>
  <si>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</si>
  <si>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</si>
  <si>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</si>
  <si>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</si>
  <si>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</si>
  <si>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</si>
  <si>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</si>
  <si>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</si>
  <si>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</si>
  <si>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</si>
  <si>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</si>
  <si>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</si>
  <si>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</si>
  <si>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</si>
  <si>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</si>
  <si>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</si>
  <si>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</si>
  <si>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</si>
  <si>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</si>
  <si>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</si>
  <si>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</si>
  <si>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</si>
  <si>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</si>
  <si>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</si>
  <si>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</si>
  <si>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</si>
  <si>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</si>
  <si>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</si>
  <si>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</si>
  <si>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</si>
  <si>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</si>
  <si>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</si>
  <si>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</si>
  <si>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</si>
  <si>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</si>
  <si>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</si>
  <si>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</si>
  <si>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</si>
  <si>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</si>
  <si>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</si>
  <si>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</si>
  <si>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</si>
  <si>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</si>
  <si>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</si>
  <si>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</si>
  <si>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</si>
  <si>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</si>
  <si>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</si>
  <si>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</si>
  <si>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</si>
  <si>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</si>
  <si>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</si>
  <si>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</si>
  <si>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</si>
  <si>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</si>
  <si>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</si>
  <si>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</si>
  <si>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</si>
  <si>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</si>
  <si>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</si>
  <si>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</si>
  <si>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</si>
  <si>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</si>
  <si>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</si>
  <si>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</si>
  <si>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</si>
  <si>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</si>
  <si>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</si>
  <si>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</si>
  <si>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</si>
  <si>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</si>
  <si>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</si>
  <si>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</si>
  <si>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</si>
  <si>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</si>
  <si>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</si>
  <si>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</si>
  <si>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</si>
  <si>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</si>
  <si>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</si>
  <si>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</si>
  <si>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</si>
  <si>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</si>
  <si>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</si>
  <si>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</si>
  <si>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</si>
  <si>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</si>
  <si>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</si>
  <si>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</si>
  <si>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</si>
  <si>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</si>
  <si>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</si>
  <si>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</si>
  <si>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</si>
  <si>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</si>
  <si>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</si>
  <si>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</si>
  <si>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</si>
  <si>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</si>
  <si>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</si>
  <si>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</si>
  <si>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</si>
  <si>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</si>
  <si>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</si>
  <si>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</si>
  <si>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</si>
  <si>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</si>
  <si>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</si>
  <si>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</si>
  <si>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</si>
  <si>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</si>
  <si>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</si>
  <si>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</si>
  <si>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</si>
  <si>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</si>
  <si>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</si>
  <si>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</si>
  <si>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</si>
  <si>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</si>
  <si>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</si>
  <si>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</si>
  <si>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</si>
  <si>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</si>
  <si>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</si>
  <si>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</si>
  <si>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</si>
  <si>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</si>
  <si>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</si>
  <si>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</si>
  <si>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</si>
  <si>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</si>
  <si>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</si>
  <si>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</si>
  <si>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</si>
  <si>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</si>
  <si>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</si>
  <si>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</si>
  <si>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</si>
  <si>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</si>
  <si>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</si>
  <si>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</si>
  <si>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</si>
  <si>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</si>
  <si>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</si>
  <si>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</si>
  <si>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</si>
  <si>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</si>
  <si>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</si>
  <si>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</si>
  <si>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</si>
  <si>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</si>
  <si>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</si>
  <si>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</si>
  <si>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</si>
  <si>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</si>
  <si>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</si>
  <si>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</si>
  <si>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</si>
  <si>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</si>
  <si>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</si>
  <si>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</si>
  <si>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</si>
  <si>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</si>
  <si>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</si>
  <si>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</si>
  <si>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</si>
  <si>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</si>
  <si>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</si>
  <si>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</si>
  <si>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</si>
  <si>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</si>
  <si>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</si>
  <si>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</si>
  <si>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</si>
  <si>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</si>
  <si>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</si>
  <si>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</si>
  <si>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</si>
  <si>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</si>
  <si>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</si>
  <si>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</si>
  <si>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</si>
  <si>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</si>
  <si>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</si>
  <si>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</si>
  <si>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</si>
  <si>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</si>
  <si>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</si>
  <si>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</si>
  <si>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</si>
  <si>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</si>
  <si>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</si>
  <si>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</si>
  <si>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</si>
  <si>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</si>
  <si>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</si>
  <si>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</si>
  <si>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</si>
  <si>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</si>
  <si>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</si>
  <si>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</si>
  <si>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</si>
  <si>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</si>
  <si>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</si>
  <si>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</si>
  <si>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</si>
  <si>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</si>
  <si>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</si>
  <si>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</si>
  <si>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</si>
  <si>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</si>
  <si>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</si>
  <si>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</si>
  <si>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</si>
  <si>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</si>
  <si>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</si>
  <si>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</si>
  <si>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</si>
  <si>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</si>
  <si>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</si>
  <si>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</si>
  <si>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</si>
  <si>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</si>
  <si>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</si>
  <si>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</si>
  <si>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</si>
  <si>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</si>
  <si>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</si>
  <si>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</si>
  <si>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</si>
  <si>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</si>
  <si>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</si>
  <si>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</si>
  <si>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</si>
  <si>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</si>
  <si>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</si>
  <si>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</si>
  <si>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</si>
  <si>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</si>
  <si>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</si>
  <si>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</si>
  <si>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</si>
  <si>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</si>
  <si>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</si>
  <si>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</si>
  <si>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</si>
  <si>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</si>
  <si>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</si>
  <si>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</si>
  <si>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</si>
  <si>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</si>
  <si>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</si>
  <si>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</si>
  <si>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</si>
  <si>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</si>
  <si>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</si>
  <si>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</si>
  <si>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</si>
  <si>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</si>
  <si>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</si>
  <si>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</si>
  <si>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</si>
  <si>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</si>
  <si>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</si>
  <si>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</si>
  <si>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</si>
  <si>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</si>
  <si>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</si>
  <si>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</si>
  <si>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</si>
  <si>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</si>
  <si>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</si>
  <si>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</si>
  <si>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</si>
  <si>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</si>
  <si>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</si>
  <si>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</si>
  <si>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</si>
  <si>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</si>
  <si>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</si>
  <si>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</si>
  <si>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</si>
  <si>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</si>
  <si>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</si>
  <si>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</si>
  <si>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</si>
  <si>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</si>
  <si>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</si>
  <si>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</si>
  <si>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</si>
  <si>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</si>
  <si>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</si>
  <si>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</si>
  <si>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</si>
  <si>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</si>
  <si>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</si>
  <si>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</si>
  <si>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</si>
  <si>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</si>
  <si>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</si>
  <si>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</si>
  <si>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</si>
  <si>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</si>
  <si>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</si>
  <si>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</si>
  <si>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</si>
  <si>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</si>
  <si>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</si>
  <si>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</si>
  <si>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</si>
  <si>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</si>
  <si>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</si>
  <si>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</si>
  <si>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</si>
  <si>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</si>
  <si>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</si>
  <si>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</si>
  <si>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</si>
  <si>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</si>
  <si>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</si>
  <si>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</si>
  <si>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</si>
  <si>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</si>
  <si>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</si>
  <si>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</si>
  <si>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</si>
  <si>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</si>
  <si>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</si>
  <si>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</si>
  <si>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</si>
  <si>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</si>
  <si>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</si>
  <si>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</si>
  <si>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</si>
  <si>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</si>
  <si>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</si>
  <si>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</si>
  <si>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</si>
  <si>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</si>
  <si>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</si>
  <si>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</si>
  <si>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</si>
  <si>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</si>
  <si>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</si>
  <si>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</si>
  <si>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</si>
  <si>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</si>
  <si>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</si>
  <si>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</si>
  <si>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</si>
  <si>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</si>
  <si>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</si>
  <si>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</si>
  <si>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</si>
  <si>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</si>
  <si>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</si>
  <si>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</si>
  <si>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</si>
  <si>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</si>
  <si>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</si>
  <si>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</si>
  <si>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</si>
  <si>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</si>
  <si>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</si>
  <si>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</si>
  <si>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</si>
  <si>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</si>
  <si>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</si>
  <si>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</si>
  <si>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</si>
  <si>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</si>
  <si>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</si>
  <si>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</si>
  <si>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</si>
  <si>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</si>
  <si>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</si>
  <si>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</si>
  <si>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</si>
  <si>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</si>
  <si>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</si>
  <si>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</si>
  <si>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</si>
  <si>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</si>
  <si>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</si>
  <si>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</si>
  <si>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</si>
  <si>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</si>
  <si>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</si>
  <si>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</si>
  <si>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</si>
  <si>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</si>
  <si>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</si>
  <si>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</si>
  <si>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</si>
  <si>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</si>
  <si>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</si>
  <si>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</si>
  <si>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</si>
  <si>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</si>
  <si>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</si>
  <si>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</si>
  <si>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</si>
  <si>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</si>
  <si>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</si>
  <si>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</si>
  <si>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</si>
  <si>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</si>
  <si>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</si>
  <si>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</si>
  <si>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</si>
  <si>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</si>
  <si>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</si>
  <si>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</si>
  <si>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</si>
  <si>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</si>
  <si>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</si>
  <si>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</si>
  <si>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</si>
  <si>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</si>
  <si>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</si>
  <si>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</si>
  <si>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</si>
  <si>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</si>
  <si>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</si>
  <si>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</si>
  <si>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</si>
  <si>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</si>
  <si>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</si>
  <si>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</si>
  <si>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</si>
  <si>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</si>
  <si>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</si>
  <si>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</si>
  <si>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</si>
  <si>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</si>
  <si>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</si>
  <si>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</si>
  <si>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</si>
  <si>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</si>
  <si>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</si>
  <si>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</si>
  <si>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</si>
  <si>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</si>
  <si>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</si>
  <si>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</si>
  <si>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</si>
  <si>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</si>
  <si>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</si>
  <si>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</si>
  <si>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</si>
  <si>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</si>
  <si>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</si>
  <si>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</si>
  <si>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</si>
  <si>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</si>
  <si>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</si>
  <si>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</si>
  <si>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</si>
  <si>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</si>
  <si>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</si>
  <si>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</si>
  <si>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</si>
  <si>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</si>
  <si>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</si>
  <si>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</si>
  <si>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</si>
  <si>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</si>
  <si>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</si>
  <si>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</si>
  <si>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</si>
  <si>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</si>
  <si>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</si>
  <si>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</si>
  <si>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</si>
  <si>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</si>
  <si>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</si>
  <si>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</si>
  <si>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</si>
  <si>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</si>
  <si>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</si>
  <si>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</si>
  <si>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</si>
  <si>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</si>
  <si>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</si>
  <si>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</si>
  <si>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</si>
  <si>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</si>
  <si>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</si>
  <si>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</si>
  <si>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</si>
  <si>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</si>
  <si>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</si>
  <si>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</si>
  <si>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</si>
  <si>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</si>
  <si>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</si>
  <si>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</si>
  <si>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</si>
  <si>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</si>
  <si>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</si>
  <si>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</si>
  <si>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</si>
  <si>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</si>
  <si>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</si>
  <si>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</si>
  <si>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</si>
  <si>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</si>
  <si>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</si>
  <si>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</si>
  <si>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</si>
  <si>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</si>
  <si>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</si>
  <si>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</si>
  <si>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</si>
  <si>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</si>
  <si>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</si>
  <si>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</si>
  <si>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</si>
  <si>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</si>
  <si>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</si>
  <si>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</si>
  <si>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</si>
  <si>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</si>
  <si>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</si>
  <si>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</si>
  <si>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</si>
  <si>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</si>
  <si>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</si>
  <si>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</si>
  <si>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</si>
  <si>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</si>
  <si>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</si>
  <si>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</si>
  <si>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</si>
  <si>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</si>
  <si>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</si>
  <si>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</si>
  <si>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</si>
  <si>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</si>
  <si>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</si>
  <si>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</si>
  <si>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</si>
  <si>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</si>
  <si>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</si>
  <si>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</si>
  <si>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</si>
  <si>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</si>
  <si>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</si>
  <si>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</si>
  <si>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</si>
  <si>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</si>
  <si>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</si>
  <si>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</si>
  <si>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</si>
  <si>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</si>
  <si>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</si>
  <si>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</si>
  <si>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</si>
  <si>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</si>
  <si>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</si>
  <si>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</si>
  <si>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</si>
  <si>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</si>
  <si>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</si>
  <si>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</si>
  <si>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</si>
  <si>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</si>
  <si>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</si>
  <si>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</si>
  <si>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</si>
  <si>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</si>
  <si>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</si>
  <si>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</si>
  <si>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</si>
  <si>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</si>
  <si>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</si>
  <si>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</si>
  <si>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</si>
  <si>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</si>
  <si>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</si>
  <si>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</si>
  <si>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</si>
  <si>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</si>
  <si>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</si>
  <si>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</si>
  <si>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</si>
  <si>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</si>
  <si>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</si>
  <si>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</si>
  <si>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</si>
  <si>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11/91 - 12/10</t>
  </si>
  <si>
    <t>04/40</t>
  </si>
  <si>
    <t>See attached page for details</t>
  </si>
  <si>
    <t>Scholarship Fund</t>
  </si>
  <si>
    <t>Updated Equit Ed State Tax Revenue amount tot tie out to State amount.</t>
  </si>
  <si>
    <t>Updated Current Appropriations Revenue amount to tie out to State amount.</t>
  </si>
  <si>
    <t>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</si>
</sst>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111</v>
      </c>
      <c r="C2" s="21">
        <v>111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3109417.98</v>
      </c>
      <c r="G9" s="18">
        <v>15788.14</v>
      </c>
      <c r="H9" s="18">
        <v>-207947.99</v>
      </c>
      <c r="I9" s="18">
        <v>191166.04</v>
      </c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2189421.65</v>
      </c>
      <c r="J10" s="67">
        <f>SUM(I439)</f>
        <v>6343543.5099999998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85929929.659999996</v>
      </c>
      <c r="G12" s="18">
        <v>4673130.78</v>
      </c>
      <c r="H12" s="18">
        <v>17672749.280000001</v>
      </c>
      <c r="I12" s="18">
        <v>63727621.909999996</v>
      </c>
      <c r="J12" s="67">
        <f>SUM(I440)</f>
        <v>-1171071.6599999999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548539.31999999995</v>
      </c>
      <c r="G14" s="18">
        <v>170624.4</v>
      </c>
      <c r="H14" s="18">
        <v>794951.07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33695.01</v>
      </c>
      <c r="G16" s="18">
        <v>23821.38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95100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89716681.969999999</v>
      </c>
      <c r="G19" s="41">
        <f>SUM(G9:G18)</f>
        <v>4883364.7</v>
      </c>
      <c r="H19" s="41">
        <f>SUM(H9:H18)</f>
        <v>18259752.360000003</v>
      </c>
      <c r="I19" s="41">
        <f>SUM(I9:I18)</f>
        <v>66108209.599999994</v>
      </c>
      <c r="J19" s="41">
        <f>SUM(J9:J18)</f>
        <v>5172471.8499999996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85189134.790000007</v>
      </c>
      <c r="G22" s="18">
        <v>4851462.87</v>
      </c>
      <c r="H22" s="18">
        <v>18075144.84</v>
      </c>
      <c r="I22" s="18">
        <v>62071197.530000001</v>
      </c>
      <c r="J22" s="67">
        <f>SUM(I447)</f>
        <v>645420.29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1695.08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73180.990000000005</v>
      </c>
      <c r="G28" s="18">
        <v>4567.6099999999997</v>
      </c>
      <c r="H28" s="18">
        <v>7946.67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1571136.77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22207.5</v>
      </c>
      <c r="G30" s="18">
        <v>23412.74</v>
      </c>
      <c r="H30" s="18">
        <v>6684.13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86857355.129999995</v>
      </c>
      <c r="G32" s="41">
        <f>SUM(G22:G31)</f>
        <v>4879443.2200000007</v>
      </c>
      <c r="H32" s="41">
        <f>SUM(H22:H31)</f>
        <v>18089775.640000001</v>
      </c>
      <c r="I32" s="41">
        <f>SUM(I22:I31)</f>
        <v>62071197.530000001</v>
      </c>
      <c r="J32" s="41">
        <f>SUM(J22:J31)</f>
        <v>645420.29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488733.28</v>
      </c>
      <c r="G45" s="18">
        <v>19662.73</v>
      </c>
      <c r="H45" s="18">
        <v>211979.41</v>
      </c>
      <c r="I45" s="18">
        <v>1461255.6</v>
      </c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33695.01</v>
      </c>
      <c r="G47" s="18">
        <v>-15741.25</v>
      </c>
      <c r="H47" s="18">
        <f>192933.53+13524058.46-13674507.63-84487.05</f>
        <v>-42002.690000000599</v>
      </c>
      <c r="I47" s="18">
        <f>9471431.78+192670155.74-199450383.78-115447.27</f>
        <v>2575756.4700000095</v>
      </c>
      <c r="J47" s="13">
        <f>SUM(I458)</f>
        <v>4526051.5600000005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1000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2336898.5499999998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2859326.84</v>
      </c>
      <c r="G50" s="41">
        <f>SUM(G35:G49)</f>
        <v>3921.4799999999996</v>
      </c>
      <c r="H50" s="41">
        <f>SUM(H35:H49)</f>
        <v>169976.71999999939</v>
      </c>
      <c r="I50" s="41">
        <f>SUM(I35:I49)</f>
        <v>4037012.0700000096</v>
      </c>
      <c r="J50" s="41">
        <f>SUM(J35:J49)</f>
        <v>4527051.5600000005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89716681.969999999</v>
      </c>
      <c r="G51" s="41">
        <f>G50+G32</f>
        <v>4883364.7000000011</v>
      </c>
      <c r="H51" s="41">
        <f>H50+H32</f>
        <v>18259752.359999999</v>
      </c>
      <c r="I51" s="41">
        <f>I50+I32</f>
        <v>66108209.600000009</v>
      </c>
      <c r="J51" s="41">
        <f>J50+J32</f>
        <v>5172471.8500000006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36305795.88+51830.12</f>
        <v>36357626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36357626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20313.34+100521.75</f>
        <v>120835.09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f>5451.25+2942.5+3045</f>
        <v>11438.75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167466.29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2629617.33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497144.05+56837.88</f>
        <v>553981.92999999993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527592.09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4010931.4799999995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10285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f>27577.17</f>
        <v>27577.17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82823.37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120685.54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49.21</v>
      </c>
      <c r="G95" s="18">
        <v>62.51</v>
      </c>
      <c r="H95" s="18"/>
      <c r="I95" s="18">
        <v>2226.73</v>
      </c>
      <c r="J95" s="18">
        <f>1313.78+116.17</f>
        <v>1429.95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357423.9+13519.95+6752.22+252547.19+9964.33</f>
        <v>640207.59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22120+104228+5249.47</f>
        <v>131597.47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86733.75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47935.26</v>
      </c>
      <c r="I101" s="18"/>
      <c r="J101" s="18">
        <v>1475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6394.97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283657.93</v>
      </c>
      <c r="G109" s="18">
        <v>5842.47</v>
      </c>
      <c r="H109" s="18">
        <v>72426.25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508433.32999999996</v>
      </c>
      <c r="G110" s="41">
        <f>SUM(G95:G109)</f>
        <v>646112.56999999995</v>
      </c>
      <c r="H110" s="41">
        <f>SUM(H95:H109)</f>
        <v>120361.51000000001</v>
      </c>
      <c r="I110" s="41">
        <f>SUM(I95:I109)</f>
        <v>2226.73</v>
      </c>
      <c r="J110" s="41">
        <f>SUM(J95:J109)</f>
        <v>2904.95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40997676.349999994</v>
      </c>
      <c r="G111" s="41">
        <f>G59+G110</f>
        <v>646112.56999999995</v>
      </c>
      <c r="H111" s="41">
        <f>H59+H78+H93+H110</f>
        <v>120361.51000000001</v>
      </c>
      <c r="I111" s="41">
        <f>I59+I110</f>
        <v>2226.73</v>
      </c>
      <c r="J111" s="41">
        <f>J59+J110</f>
        <v>2904.95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13154017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8271395.12-51830.12</f>
        <v>8219565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21373582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1308561.8799999999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408995.26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893126.27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109497.2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71751.12</v>
      </c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2610683.41</v>
      </c>
      <c r="G135" s="41">
        <f>SUM(G122:G134)</f>
        <v>109497.2</v>
      </c>
      <c r="H135" s="41">
        <f>SUM(H122:H134)</f>
        <v>71751.12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23984265.41</v>
      </c>
      <c r="G139" s="41">
        <f>G120+SUM(G135:G136)</f>
        <v>109497.2</v>
      </c>
      <c r="H139" s="41">
        <f>H120+SUM(H135:H138)</f>
        <v>71751.12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959261.61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959261.61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1311768.76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708834.12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371164.94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79267.27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822385.61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1299122.3799999999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1336979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54375.98</v>
      </c>
      <c r="G160" s="18">
        <v>64713.81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1391354.98</v>
      </c>
      <c r="G161" s="41">
        <f>SUM(G149:G160)</f>
        <v>887099.41999999993</v>
      </c>
      <c r="H161" s="41">
        <f>SUM(H149:H160)</f>
        <v>3770157.4699999997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2350616.59</v>
      </c>
      <c r="G168" s="41">
        <f>G146+G161+SUM(G162:G167)</f>
        <v>887099.41999999993</v>
      </c>
      <c r="H168" s="41">
        <f>H146+H161+SUM(H162:H167)</f>
        <v>3770157.4699999997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1094.05</v>
      </c>
      <c r="H178" s="18"/>
      <c r="I178" s="18"/>
      <c r="J178" s="18">
        <f>747081.7+900000</f>
        <v>1647081.7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112797.12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112797.12</v>
      </c>
      <c r="G182" s="41">
        <f>SUM(G178:G181)</f>
        <v>1094.05</v>
      </c>
      <c r="H182" s="41">
        <f>SUM(H178:H181)</f>
        <v>0</v>
      </c>
      <c r="I182" s="41">
        <f>SUM(I178:I181)</f>
        <v>0</v>
      </c>
      <c r="J182" s="41">
        <f>SUM(J178:J181)</f>
        <v>1647081.7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1724222.25</v>
      </c>
      <c r="G185" s="18"/>
      <c r="H185" s="18"/>
      <c r="I185" s="18">
        <v>148568.12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1724222.25</v>
      </c>
      <c r="G187" s="41">
        <f>SUM(G184:G186)</f>
        <v>0</v>
      </c>
      <c r="H187" s="41">
        <f>SUM(H184:H186)</f>
        <v>0</v>
      </c>
      <c r="I187" s="41">
        <f>SUM(I184:I186)</f>
        <v>148568.12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900000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2737019.37</v>
      </c>
      <c r="G191" s="41">
        <f>G182+SUM(G187:G190)</f>
        <v>1094.05</v>
      </c>
      <c r="H191" s="41">
        <f>+H182+SUM(H187:H190)</f>
        <v>0</v>
      </c>
      <c r="I191" s="41">
        <f>I176+I182+SUM(I187:I190)</f>
        <v>148568.12</v>
      </c>
      <c r="J191" s="41">
        <f>J182</f>
        <v>1647081.7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70069577.719999999</v>
      </c>
      <c r="G192" s="47">
        <f>G111+G139+G168+G191</f>
        <v>1643803.24</v>
      </c>
      <c r="H192" s="47">
        <f>H111+H139+H168+H191</f>
        <v>3962270.0999999996</v>
      </c>
      <c r="I192" s="47">
        <f>I111+I139+I168+I191</f>
        <v>150794.85</v>
      </c>
      <c r="J192" s="47">
        <f>J111+J139+J191</f>
        <v>1649986.65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7795031.9+6447.5+113083.38</f>
        <v>7914562.7800000003</v>
      </c>
      <c r="G196" s="18">
        <f>3158629.34+672.73+216882.04</f>
        <v>3376184.11</v>
      </c>
      <c r="H196" s="18">
        <f>64779.12+622.98</f>
        <v>65402.100000000006</v>
      </c>
      <c r="I196" s="18">
        <f>236261.41+4272</f>
        <v>240533.41</v>
      </c>
      <c r="J196" s="18">
        <f>7359.54</f>
        <v>7359.54</v>
      </c>
      <c r="K196" s="18">
        <f>75</f>
        <v>75</v>
      </c>
      <c r="L196" s="19">
        <f>SUM(F196:K196)</f>
        <v>11604116.939999999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1755696.05+1001994.48+13144.6</f>
        <v>2770835.1300000004</v>
      </c>
      <c r="G197" s="18">
        <f>589360.39+337616.4+1022.35+76715.76</f>
        <v>1004714.9</v>
      </c>
      <c r="H197" s="18">
        <f>83600.53+60600+45528.98</f>
        <v>189729.51</v>
      </c>
      <c r="I197" s="18">
        <f>3854.31+4222.11+3753.51</f>
        <v>11829.93</v>
      </c>
      <c r="J197" s="18">
        <f>1098.69</f>
        <v>1098.69</v>
      </c>
      <c r="K197" s="18"/>
      <c r="L197" s="19">
        <f>SUM(F197:K197)</f>
        <v>3978208.16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12776.25+56384.42</f>
        <v>69160.67</v>
      </c>
      <c r="G199" s="18">
        <f>2271.82+24430.88+371.06</f>
        <v>27073.760000000002</v>
      </c>
      <c r="H199" s="18"/>
      <c r="I199" s="18"/>
      <c r="J199" s="18"/>
      <c r="K199" s="18"/>
      <c r="L199" s="19">
        <f>SUM(F199:K199)</f>
        <v>96234.43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375198.19+273791.36+147091.71+652296.84+228691.45+62473.4</f>
        <v>1739542.95</v>
      </c>
      <c r="G201" s="18">
        <f>142633.03+119165.44+56078.18+223238.29+86065.07+21756.91+46660.25</f>
        <v>695597.17</v>
      </c>
      <c r="H201" s="18">
        <f>0+5063.5+153751.68+29211.29</f>
        <v>188026.47</v>
      </c>
      <c r="I201" s="18">
        <f>1134.76+7216.71+2017.71+3777.48</f>
        <v>14146.66</v>
      </c>
      <c r="J201" s="18">
        <f>3765.69</f>
        <v>3765.69</v>
      </c>
      <c r="K201" s="18">
        <f>11.08</f>
        <v>11.08</v>
      </c>
      <c r="L201" s="19">
        <f t="shared" ref="L201:L207" si="0">SUM(F201:K201)</f>
        <v>2641090.0200000005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237799.7+130109.5+168856.56</f>
        <v>536765.76</v>
      </c>
      <c r="G202" s="18">
        <f>119678.11+45539.65+138188.55+10204.03</f>
        <v>313610.34000000003</v>
      </c>
      <c r="H202" s="18">
        <f>0+197.57+85411.91</f>
        <v>85609.48000000001</v>
      </c>
      <c r="I202" s="18">
        <f>7446.94+442.8+2202.87+85705</f>
        <v>95797.61</v>
      </c>
      <c r="J202" s="18">
        <f>975.1+2409.71+6697.36+19380.18</f>
        <v>29462.35</v>
      </c>
      <c r="K202" s="18"/>
      <c r="L202" s="19">
        <f t="shared" si="0"/>
        <v>1061245.54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210230.59</f>
        <v>210230.59</v>
      </c>
      <c r="G203" s="18">
        <f>85536.15</f>
        <v>85536.15</v>
      </c>
      <c r="H203" s="18">
        <f>127160.26</f>
        <v>127160.26</v>
      </c>
      <c r="I203" s="18">
        <f>12776.11</f>
        <v>12776.11</v>
      </c>
      <c r="J203" s="18"/>
      <c r="K203" s="18">
        <v>4518.41</v>
      </c>
      <c r="L203" s="19">
        <f t="shared" si="0"/>
        <v>440221.51999999996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688542.08</v>
      </c>
      <c r="G204" s="18">
        <f>318430.01+19202.13</f>
        <v>337632.14</v>
      </c>
      <c r="H204" s="18">
        <v>10486.02</v>
      </c>
      <c r="I204" s="18">
        <v>3206.16</v>
      </c>
      <c r="J204" s="18">
        <v>264.99</v>
      </c>
      <c r="K204" s="18">
        <v>4092</v>
      </c>
      <c r="L204" s="19">
        <f t="shared" si="0"/>
        <v>1044223.39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187881.07</f>
        <v>187881.07</v>
      </c>
      <c r="G205" s="18">
        <f>84358.77</f>
        <v>84358.77</v>
      </c>
      <c r="H205" s="18">
        <f>1101.75</f>
        <v>1101.75</v>
      </c>
      <c r="I205" s="18">
        <f>476.05</f>
        <v>476.05</v>
      </c>
      <c r="J205" s="18">
        <f>478.38</f>
        <v>478.38</v>
      </c>
      <c r="K205" s="18">
        <f>205.02</f>
        <v>205.02</v>
      </c>
      <c r="L205" s="19">
        <f t="shared" si="0"/>
        <v>274501.04000000004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574153.63+176533.35</f>
        <v>750686.98</v>
      </c>
      <c r="G206" s="18">
        <f>283029+81714.99+15955.39</f>
        <v>380699.38</v>
      </c>
      <c r="H206" s="18">
        <f>231210.15+1814.5+186620.29</f>
        <v>419644.94</v>
      </c>
      <c r="I206" s="18">
        <f>49175.23+578955.66+33905.16</f>
        <v>662036.05000000005</v>
      </c>
      <c r="J206" s="18">
        <f>16557.75+4248.46</f>
        <v>20806.21</v>
      </c>
      <c r="K206" s="18">
        <f>268.33</f>
        <v>268.33</v>
      </c>
      <c r="L206" s="19">
        <f t="shared" si="0"/>
        <v>2234141.8899999997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2560.83+584953.17</f>
        <v>587514</v>
      </c>
      <c r="G207" s="18">
        <f>195.91+185425.9+92.76</f>
        <v>185714.57</v>
      </c>
      <c r="H207" s="18">
        <f>1646.5+19406.5+81150.63</f>
        <v>102203.63</v>
      </c>
      <c r="I207" s="18">
        <v>145506.51</v>
      </c>
      <c r="J207" s="18"/>
      <c r="K207" s="18">
        <v>1200.8599999999999</v>
      </c>
      <c r="L207" s="19">
        <f t="shared" si="0"/>
        <v>1022139.5700000001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123268.96</f>
        <v>123268.96</v>
      </c>
      <c r="G208" s="18">
        <f>59968.3</f>
        <v>59968.3</v>
      </c>
      <c r="H208" s="18">
        <f>29248.02</f>
        <v>29248.02</v>
      </c>
      <c r="I208" s="18"/>
      <c r="J208" s="18"/>
      <c r="K208" s="18">
        <v>102.51</v>
      </c>
      <c r="L208" s="19">
        <f>SUM(F208:K208)</f>
        <v>212587.79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15578990.970000001</v>
      </c>
      <c r="G210" s="41">
        <f t="shared" si="1"/>
        <v>6551089.5899999989</v>
      </c>
      <c r="H210" s="41">
        <f t="shared" si="1"/>
        <v>1218612.1800000002</v>
      </c>
      <c r="I210" s="41">
        <f t="shared" si="1"/>
        <v>1186308.49</v>
      </c>
      <c r="J210" s="41">
        <f t="shared" si="1"/>
        <v>63235.849999999991</v>
      </c>
      <c r="K210" s="41">
        <f t="shared" si="1"/>
        <v>10473.210000000001</v>
      </c>
      <c r="L210" s="41">
        <f t="shared" si="1"/>
        <v>24608710.289999999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4481622.39+3266.01+58715.32</f>
        <v>4543603.72</v>
      </c>
      <c r="G214" s="18">
        <f>1756045.88+340.77+124674.7</f>
        <v>1881061.3499999999</v>
      </c>
      <c r="H214" s="18">
        <f>24166.2+315.57</f>
        <v>24481.77</v>
      </c>
      <c r="I214" s="18">
        <f>76412.55+2164</f>
        <v>78576.55</v>
      </c>
      <c r="J214" s="18">
        <v>4975.59</v>
      </c>
      <c r="K214" s="18">
        <v>104</v>
      </c>
      <c r="L214" s="19">
        <f>SUM(F214:K214)</f>
        <v>6532802.9799999986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601109.63+572884.65+6201.57</f>
        <v>1180195.8500000001</v>
      </c>
      <c r="G215" s="18">
        <f>182925.44+213100.25+482.34+32652.9</f>
        <v>429160.93000000005</v>
      </c>
      <c r="H215" s="18">
        <f>696316.66+3263.75+21480.39</f>
        <v>721060.8</v>
      </c>
      <c r="I215" s="18">
        <f>3107.65+1770.9</f>
        <v>4878.55</v>
      </c>
      <c r="J215" s="18">
        <f>367.34+518.36</f>
        <v>885.7</v>
      </c>
      <c r="K215" s="18"/>
      <c r="L215" s="19">
        <f>SUM(F215:K215)</f>
        <v>2336181.83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15624+66129.45+28561.77</f>
        <v>110315.22</v>
      </c>
      <c r="G217" s="18">
        <f>2464.52+11055.34+12375.57+2319.1</f>
        <v>28214.53</v>
      </c>
      <c r="H217" s="18">
        <f>13720.16</f>
        <v>13720.16</v>
      </c>
      <c r="I217" s="18">
        <f>3913.3</f>
        <v>3913.3</v>
      </c>
      <c r="J217" s="18">
        <f>810.35</f>
        <v>810.35</v>
      </c>
      <c r="K217" s="18">
        <f>2555</f>
        <v>2555</v>
      </c>
      <c r="L217" s="19">
        <f>SUM(F217:K217)</f>
        <v>159528.56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243523.84+75187.49+55256+70701+26015.2+29676.75</f>
        <v>500360.28</v>
      </c>
      <c r="G219" s="18">
        <f>86447.14+34732.27+32844.19+26244.21+1668.93+10325.44+13079.71</f>
        <v>205341.88999999998</v>
      </c>
      <c r="H219" s="18">
        <f>1647.5+9613.76+13849.13</f>
        <v>25110.39</v>
      </c>
      <c r="I219" s="18">
        <f>732.92+1327.66+1782.2</f>
        <v>3842.7799999999997</v>
      </c>
      <c r="J219" s="18">
        <f>1787.38+9817.11</f>
        <v>11604.490000000002</v>
      </c>
      <c r="K219" s="18">
        <v>5.23</v>
      </c>
      <c r="L219" s="19">
        <f t="shared" ref="L219:L225" si="2">SUM(F219:K219)</f>
        <v>746265.06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14378+119452.17+83768.44</f>
        <v>217598.61</v>
      </c>
      <c r="G220" s="18">
        <f>2724.54+37483.03+64637.87+3710.56</f>
        <v>108556</v>
      </c>
      <c r="H220" s="18">
        <f>667.42+42658.82</f>
        <v>43326.239999999998</v>
      </c>
      <c r="I220" s="18">
        <f>9899.54+1888.15+200.73+2826.92+43158.37</f>
        <v>57973.710000000006</v>
      </c>
      <c r="J220" s="18">
        <f>3191.6</f>
        <v>3191.6</v>
      </c>
      <c r="K220" s="18"/>
      <c r="L220" s="19">
        <f t="shared" si="2"/>
        <v>430646.16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106493.21</f>
        <v>106493.21</v>
      </c>
      <c r="G221" s="18">
        <f>43328.7</f>
        <v>43328.7</v>
      </c>
      <c r="H221" s="18">
        <f>64413.58</f>
        <v>64413.58</v>
      </c>
      <c r="I221" s="18">
        <f>6471.79</f>
        <v>6471.79</v>
      </c>
      <c r="J221" s="18"/>
      <c r="K221" s="18">
        <v>2288.8200000000002</v>
      </c>
      <c r="L221" s="19">
        <f t="shared" si="2"/>
        <v>222996.1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601167.99</f>
        <v>601167.99</v>
      </c>
      <c r="G222" s="18">
        <f>259748.24+16697.5</f>
        <v>276445.74</v>
      </c>
      <c r="H222" s="18">
        <f>18717.97</f>
        <v>18717.97</v>
      </c>
      <c r="I222" s="18">
        <f>15306.2</f>
        <v>15306.2</v>
      </c>
      <c r="J222" s="18"/>
      <c r="K222" s="18">
        <f>3736.5</f>
        <v>3736.5</v>
      </c>
      <c r="L222" s="19">
        <f t="shared" si="2"/>
        <v>915374.39999999991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84084.61</f>
        <v>84084.61</v>
      </c>
      <c r="G223" s="18">
        <f>37754.07</f>
        <v>37754.07</v>
      </c>
      <c r="H223" s="18">
        <f>493.08</f>
        <v>493.08</v>
      </c>
      <c r="I223" s="18">
        <f>213.05</f>
        <v>213.05</v>
      </c>
      <c r="J223" s="18">
        <f>214.09</f>
        <v>214.09</v>
      </c>
      <c r="K223" s="18">
        <f>91.75</f>
        <v>91.75</v>
      </c>
      <c r="L223" s="19">
        <f t="shared" si="2"/>
        <v>122850.65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262417.27+92971.12</f>
        <v>355388.39</v>
      </c>
      <c r="G224" s="18">
        <f>128894.48+43035.12+7328.35</f>
        <v>179257.95</v>
      </c>
      <c r="H224" s="18">
        <f>0+114371.85+334.25+98283.41</f>
        <v>212989.51</v>
      </c>
      <c r="I224" s="18">
        <f>28915.06+274264.61+17856.12</f>
        <v>321035.78999999998</v>
      </c>
      <c r="J224" s="18">
        <f>7634.06+149+2237.45</f>
        <v>10020.51</v>
      </c>
      <c r="K224" s="18">
        <f>141.32</f>
        <v>141.32</v>
      </c>
      <c r="L224" s="19">
        <f t="shared" si="2"/>
        <v>1078833.4700000002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296310.54</f>
        <v>296310.53999999998</v>
      </c>
      <c r="G225" s="18">
        <f>93928.33</f>
        <v>93928.33</v>
      </c>
      <c r="H225" s="18">
        <f>22486.4+9275.9+41107.21</f>
        <v>72869.510000000009</v>
      </c>
      <c r="I225" s="18">
        <f>73706.95</f>
        <v>73706.95</v>
      </c>
      <c r="J225" s="18"/>
      <c r="K225" s="18">
        <f>608.3</f>
        <v>608.29999999999995</v>
      </c>
      <c r="L225" s="19">
        <f t="shared" si="2"/>
        <v>537423.63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55168</f>
        <v>55168</v>
      </c>
      <c r="G226" s="18">
        <f>26838.32</f>
        <v>26838.32</v>
      </c>
      <c r="H226" s="18">
        <f>13089.71</f>
        <v>13089.71</v>
      </c>
      <c r="I226" s="18"/>
      <c r="J226" s="18"/>
      <c r="K226" s="18">
        <f>45.88</f>
        <v>45.88</v>
      </c>
      <c r="L226" s="19">
        <f>SUM(F226:K226)</f>
        <v>95141.91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8050686.4200000009</v>
      </c>
      <c r="G228" s="41">
        <f>SUM(G214:G227)</f>
        <v>3309887.8099999996</v>
      </c>
      <c r="H228" s="41">
        <f>SUM(H214:H227)</f>
        <v>1210272.72</v>
      </c>
      <c r="I228" s="41">
        <f>SUM(I214:I227)</f>
        <v>565918.66999999993</v>
      </c>
      <c r="J228" s="41">
        <f>SUM(J214:J227)</f>
        <v>31702.33</v>
      </c>
      <c r="K228" s="41">
        <f t="shared" si="3"/>
        <v>9576.7999999999975</v>
      </c>
      <c r="L228" s="41">
        <f t="shared" si="3"/>
        <v>13178044.750000002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6094568.27+5378.96+98030.95+1874.76</f>
        <v>6199852.9399999995</v>
      </c>
      <c r="G232" s="18">
        <f>2480004+561.23+169572.44</f>
        <v>2650137.67</v>
      </c>
      <c r="H232" s="18">
        <f>375548.92+519.73</f>
        <v>376068.64999999997</v>
      </c>
      <c r="I232" s="18">
        <f>177397.2+3564</f>
        <v>180961.2</v>
      </c>
      <c r="J232" s="18">
        <f>27093.35</f>
        <v>27093.35</v>
      </c>
      <c r="K232" s="18">
        <f>1055</f>
        <v>1055</v>
      </c>
      <c r="L232" s="19">
        <f>SUM(F232:K232)</f>
        <v>9435168.8099999987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1170817.89+1354051.98+10312.22</f>
        <v>2535182.0900000003</v>
      </c>
      <c r="G233" s="18">
        <f>422065.53+561360.36+802.05+70222.28</f>
        <v>1054450.22</v>
      </c>
      <c r="H233" s="18">
        <f>804736.53+8063.33+35718.47</f>
        <v>848518.33</v>
      </c>
      <c r="I233" s="18">
        <f>1385+10849.66+2944.72</f>
        <v>15179.38</v>
      </c>
      <c r="J233" s="18">
        <f>845.84+861.95</f>
        <v>1707.79</v>
      </c>
      <c r="K233" s="18">
        <f>455</f>
        <v>455</v>
      </c>
      <c r="L233" s="19">
        <f>SUM(F233:K233)</f>
        <v>4455492.8100000005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32517+74889.42+19617.72+172411.57+286028.4</f>
        <v>585464.1100000001</v>
      </c>
      <c r="G234" s="18">
        <f>21839.21+36223.93+1500.75+76280.5+106981.73+16326.45</f>
        <v>259152.57</v>
      </c>
      <c r="H234" s="18">
        <f>4695.21+413+1432.5</f>
        <v>6540.71</v>
      </c>
      <c r="I234" s="18">
        <f>11040.75+2379.92+2242.43+11752.01+18740.6</f>
        <v>46155.71</v>
      </c>
      <c r="J234" s="18">
        <f>531.5</f>
        <v>531.5</v>
      </c>
      <c r="K234" s="18">
        <f>280+100+455</f>
        <v>835</v>
      </c>
      <c r="L234" s="19">
        <f>SUM(F234:K234)</f>
        <v>898679.60000000009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50730+235402.5+47039.81</f>
        <v>333172.31</v>
      </c>
      <c r="G235" s="18">
        <f>9114.18+29535.21+20381.95+7977.7</f>
        <v>67009.039999999994</v>
      </c>
      <c r="H235" s="18">
        <v>126186.23</v>
      </c>
      <c r="I235" s="18">
        <v>17516.39</v>
      </c>
      <c r="J235" s="18">
        <v>4923.2700000000004</v>
      </c>
      <c r="K235" s="18">
        <v>18123.57</v>
      </c>
      <c r="L235" s="19">
        <f>SUM(F235:K235)</f>
        <v>566930.80999999994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554829.78+106200.54+145414.08+99913+45814.6+44500+49300.91</f>
        <v>1045972.91</v>
      </c>
      <c r="G237" s="18">
        <f>220149.19+61292.28+39029.57+42274.06+18670.58+18535.78+17155.53+27736.41</f>
        <v>444843.39999999997</v>
      </c>
      <c r="H237" s="18">
        <f>288.12+23540.08+23013.3</f>
        <v>46841.5</v>
      </c>
      <c r="I237" s="18">
        <f>1991.99+1336+2963.51</f>
        <v>6291.5</v>
      </c>
      <c r="J237" s="18">
        <f>2969.66</f>
        <v>2969.66</v>
      </c>
      <c r="K237" s="18">
        <f>177.5+70+8.69</f>
        <v>256.19</v>
      </c>
      <c r="L237" s="19">
        <f t="shared" ref="L237:L243" si="4">SUM(F237:K237)</f>
        <v>1547175.16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124758.66+2867.24+138270.39</f>
        <v>265896.29000000004</v>
      </c>
      <c r="G238" s="18">
        <f>59668.19+219.31+107390.09+3525.03</f>
        <v>170802.62</v>
      </c>
      <c r="H238" s="18">
        <f>2528.98+70362.76</f>
        <v>72891.739999999991</v>
      </c>
      <c r="I238" s="18">
        <f>16249.71+959.6+4985.52+71124.3</f>
        <v>93319.13</v>
      </c>
      <c r="J238" s="18">
        <f>1512.88+16168.3</f>
        <v>17681.18</v>
      </c>
      <c r="K238" s="18"/>
      <c r="L238" s="19">
        <f t="shared" si="4"/>
        <v>620590.96000000008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175389</f>
        <v>175389</v>
      </c>
      <c r="G239" s="18">
        <f>71360.21</f>
        <v>71360.210000000006</v>
      </c>
      <c r="H239" s="18">
        <f>106085.94</f>
        <v>106085.94</v>
      </c>
      <c r="I239" s="18">
        <f>10658.72</f>
        <v>10658.72</v>
      </c>
      <c r="J239" s="18"/>
      <c r="K239" s="18">
        <f>3769.57</f>
        <v>3769.57</v>
      </c>
      <c r="L239" s="19">
        <f t="shared" si="4"/>
        <v>367263.44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935201.24</f>
        <v>935201.24</v>
      </c>
      <c r="G240" s="18">
        <f>406923.46+25973.9</f>
        <v>432897.36000000004</v>
      </c>
      <c r="H240" s="18">
        <f>23259.34+6265.96</f>
        <v>29525.3</v>
      </c>
      <c r="I240" s="18">
        <f>7991.72+481</f>
        <v>8472.7200000000012</v>
      </c>
      <c r="J240" s="18">
        <f>4371.42+2499</f>
        <v>6870.42</v>
      </c>
      <c r="K240" s="18">
        <f>8207.88</f>
        <v>8207.8799999999992</v>
      </c>
      <c r="L240" s="19">
        <f t="shared" si="4"/>
        <v>1421174.92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140415.95</f>
        <v>140415.95000000001</v>
      </c>
      <c r="G241" s="18">
        <f>63046.88</f>
        <v>63046.879999999997</v>
      </c>
      <c r="H241" s="18">
        <f>823.41</f>
        <v>823.41</v>
      </c>
      <c r="I241" s="18">
        <f>355.78</f>
        <v>355.78</v>
      </c>
      <c r="J241" s="18">
        <f>357.53</f>
        <v>357.53</v>
      </c>
      <c r="K241" s="18">
        <f>153.23</f>
        <v>153.22999999999999</v>
      </c>
      <c r="L241" s="19">
        <f t="shared" si="4"/>
        <v>205152.78000000003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479148.77+196282.72</f>
        <v>675431.49</v>
      </c>
      <c r="G242" s="18">
        <f>151492.22+90856.71+13358</f>
        <v>255706.93</v>
      </c>
      <c r="H242" s="18">
        <f>275020.68+3275.65+207498.13</f>
        <v>485794.46</v>
      </c>
      <c r="I242" s="18">
        <f>41031.57+886955.24+37698.24</f>
        <v>965685.04999999993</v>
      </c>
      <c r="J242" s="18">
        <f>15331.31+4723.75</f>
        <v>20055.059999999998</v>
      </c>
      <c r="K242" s="18">
        <f>298.35</f>
        <v>298.35000000000002</v>
      </c>
      <c r="L242" s="19">
        <f t="shared" si="4"/>
        <v>2402971.34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488008.68</f>
        <v>488008.68</v>
      </c>
      <c r="G243" s="18">
        <f>154695.24</f>
        <v>154695.24</v>
      </c>
      <c r="H243" s="18">
        <f>13815.8+102223.7+15102.2+67701.53</f>
        <v>198843.23</v>
      </c>
      <c r="I243" s="18">
        <f>121391.66</f>
        <v>121391.66</v>
      </c>
      <c r="J243" s="18"/>
      <c r="K243" s="18">
        <v>1001.84</v>
      </c>
      <c r="L243" s="19">
        <f t="shared" si="4"/>
        <v>963940.64999999991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92127.04</f>
        <v>92127.039999999994</v>
      </c>
      <c r="G244" s="18">
        <f>44818.28</f>
        <v>44818.28</v>
      </c>
      <c r="H244" s="18">
        <f>21858.98</f>
        <v>21858.98</v>
      </c>
      <c r="I244" s="18"/>
      <c r="J244" s="18"/>
      <c r="K244" s="18">
        <f>76.61</f>
        <v>76.61</v>
      </c>
      <c r="L244" s="19">
        <f>SUM(F244:K244)</f>
        <v>158880.91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13472114.049999997</v>
      </c>
      <c r="G246" s="41">
        <f t="shared" si="5"/>
        <v>5668920.4199999999</v>
      </c>
      <c r="H246" s="41">
        <f t="shared" si="5"/>
        <v>2319978.48</v>
      </c>
      <c r="I246" s="41">
        <f t="shared" si="5"/>
        <v>1465987.24</v>
      </c>
      <c r="J246" s="41">
        <f t="shared" si="5"/>
        <v>82189.760000000009</v>
      </c>
      <c r="K246" s="41">
        <f t="shared" si="5"/>
        <v>34232.239999999998</v>
      </c>
      <c r="L246" s="41">
        <f t="shared" si="5"/>
        <v>23043422.189999998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230763.54</v>
      </c>
      <c r="G250" s="18">
        <f>57560.71+6400.71</f>
        <v>63961.42</v>
      </c>
      <c r="H250" s="18">
        <v>106239.27</v>
      </c>
      <c r="I250" s="18">
        <v>6621.66</v>
      </c>
      <c r="J250" s="18"/>
      <c r="K250" s="18">
        <v>10027.23</v>
      </c>
      <c r="L250" s="19">
        <f t="shared" si="6"/>
        <v>417613.12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134716.19+57144.28+21193.64</f>
        <v>213054.11</v>
      </c>
      <c r="I254" s="18"/>
      <c r="J254" s="18"/>
      <c r="K254" s="18"/>
      <c r="L254" s="19">
        <f t="shared" si="6"/>
        <v>213054.11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230763.54</v>
      </c>
      <c r="G255" s="41">
        <f t="shared" si="7"/>
        <v>63961.42</v>
      </c>
      <c r="H255" s="41">
        <f t="shared" si="7"/>
        <v>319293.38</v>
      </c>
      <c r="I255" s="41">
        <f t="shared" si="7"/>
        <v>6621.66</v>
      </c>
      <c r="J255" s="41">
        <f t="shared" si="7"/>
        <v>0</v>
      </c>
      <c r="K255" s="41">
        <f t="shared" si="7"/>
        <v>10027.23</v>
      </c>
      <c r="L255" s="41">
        <f>SUM(F255:K255)</f>
        <v>630667.2300000001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37332554.979999997</v>
      </c>
      <c r="G256" s="41">
        <f t="shared" si="8"/>
        <v>15593859.239999998</v>
      </c>
      <c r="H256" s="41">
        <f t="shared" si="8"/>
        <v>5068156.7600000007</v>
      </c>
      <c r="I256" s="41">
        <f t="shared" si="8"/>
        <v>3224836.06</v>
      </c>
      <c r="J256" s="41">
        <f t="shared" si="8"/>
        <v>177127.94</v>
      </c>
      <c r="K256" s="41">
        <f t="shared" si="8"/>
        <v>64309.479999999996</v>
      </c>
      <c r="L256" s="41">
        <f t="shared" si="8"/>
        <v>61460844.459999993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275000+3572854.99</f>
        <v>3847854.99</v>
      </c>
      <c r="L259" s="19">
        <f>SUM(F259:K259)</f>
        <v>3847854.99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211961.75+2915342.5+226885.52</f>
        <v>3354189.77</v>
      </c>
      <c r="L260" s="19">
        <f>SUM(F260:K260)</f>
        <v>3354189.77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1094.05</v>
      </c>
      <c r="L262" s="19">
        <f>SUM(F262:K262)</f>
        <v>1094.05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130347.7+1516734</f>
        <v>1647081.7</v>
      </c>
      <c r="L265" s="19">
        <f t="shared" si="9"/>
        <v>1647081.7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8850220.5099999998</v>
      </c>
      <c r="L269" s="41">
        <f t="shared" si="9"/>
        <v>8850220.5099999998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37332554.979999997</v>
      </c>
      <c r="G270" s="42">
        <f t="shared" si="11"/>
        <v>15593859.239999998</v>
      </c>
      <c r="H270" s="42">
        <f t="shared" si="11"/>
        <v>5068156.7600000007</v>
      </c>
      <c r="I270" s="42">
        <f t="shared" si="11"/>
        <v>3224836.06</v>
      </c>
      <c r="J270" s="42">
        <f t="shared" si="11"/>
        <v>177127.94</v>
      </c>
      <c r="K270" s="42">
        <f t="shared" si="11"/>
        <v>8914529.9900000002</v>
      </c>
      <c r="L270" s="42">
        <f t="shared" si="11"/>
        <v>70311064.969999999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80049.57</f>
        <v>80049.570000000007</v>
      </c>
      <c r="G275" s="18">
        <f>16957.81</f>
        <v>16957.810000000001</v>
      </c>
      <c r="H275" s="18">
        <f>235+374.64</f>
        <v>609.64</v>
      </c>
      <c r="I275" s="18">
        <f>3757.15+880.14</f>
        <v>4637.29</v>
      </c>
      <c r="J275" s="18"/>
      <c r="K275" s="18"/>
      <c r="L275" s="19">
        <f>SUM(F275:K275)</f>
        <v>102254.31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537919.55+438498.9</f>
        <v>976418.45000000007</v>
      </c>
      <c r="G276" s="18">
        <f>187191.79+110407.61</f>
        <v>297599.40000000002</v>
      </c>
      <c r="H276" s="18">
        <f>93856.21</f>
        <v>93856.21</v>
      </c>
      <c r="I276" s="18">
        <f>6974.72+1957.14</f>
        <v>8931.86</v>
      </c>
      <c r="J276" s="18"/>
      <c r="K276" s="18"/>
      <c r="L276" s="19">
        <f>SUM(F276:K276)</f>
        <v>1376805.9200000002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80509.88+76400.2</f>
        <v>156910.08000000002</v>
      </c>
      <c r="G278" s="18">
        <f>10483.07+10078.5</f>
        <v>20561.57</v>
      </c>
      <c r="H278" s="18"/>
      <c r="I278" s="18">
        <f>785.47+5545.42</f>
        <v>6330.89</v>
      </c>
      <c r="J278" s="18"/>
      <c r="K278" s="18"/>
      <c r="L278" s="19">
        <f>SUM(F278:K278)</f>
        <v>183802.54000000004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3839.36+16263+34485.26+937.53</f>
        <v>55525.15</v>
      </c>
      <c r="G280" s="18">
        <f>724.27+1361.7+2887.43+80.19</f>
        <v>5053.5899999999992</v>
      </c>
      <c r="H280" s="18">
        <f>46+25946.59</f>
        <v>25992.59</v>
      </c>
      <c r="I280" s="18">
        <f>100+236</f>
        <v>336</v>
      </c>
      <c r="J280" s="18"/>
      <c r="K280" s="18"/>
      <c r="L280" s="19">
        <f t="shared" ref="L280:L286" si="12">SUM(F280:K280)</f>
        <v>86907.33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14126.31+290.47+77023.63+44088.93</f>
        <v>135529.34</v>
      </c>
      <c r="G281" s="18">
        <f>5368.06+31.95+16869.04+31158.69</f>
        <v>53427.740000000005</v>
      </c>
      <c r="H281" s="18">
        <f>383.5+2412.5+72972.96</f>
        <v>75768.960000000006</v>
      </c>
      <c r="I281" s="18">
        <f>9986.91+17495.12</f>
        <v>27482.03</v>
      </c>
      <c r="J281" s="18">
        <f>9574+4535.91</f>
        <v>14109.91</v>
      </c>
      <c r="K281" s="18"/>
      <c r="L281" s="19">
        <f t="shared" si="12"/>
        <v>306317.98000000004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553</f>
        <v>553</v>
      </c>
      <c r="I286" s="18"/>
      <c r="J286" s="18"/>
      <c r="K286" s="18"/>
      <c r="L286" s="19">
        <f t="shared" si="12"/>
        <v>553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1404432.59</v>
      </c>
      <c r="G289" s="42">
        <f t="shared" si="13"/>
        <v>393600.11000000004</v>
      </c>
      <c r="H289" s="42">
        <f t="shared" si="13"/>
        <v>196780.40000000002</v>
      </c>
      <c r="I289" s="42">
        <f t="shared" si="13"/>
        <v>47718.07</v>
      </c>
      <c r="J289" s="42">
        <f t="shared" si="13"/>
        <v>14109.91</v>
      </c>
      <c r="K289" s="42">
        <f t="shared" si="13"/>
        <v>0</v>
      </c>
      <c r="L289" s="41">
        <f t="shared" si="13"/>
        <v>2056641.0800000003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>
        <f>189.77</f>
        <v>189.77</v>
      </c>
      <c r="I294" s="18">
        <f>3577.19+445.84</f>
        <v>4023.03</v>
      </c>
      <c r="J294" s="18">
        <f>4287.95</f>
        <v>4287.95</v>
      </c>
      <c r="K294" s="18"/>
      <c r="L294" s="19">
        <f>SUM(F294:K294)</f>
        <v>8500.75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276974.33+38972.3</f>
        <v>315946.63</v>
      </c>
      <c r="G295" s="18">
        <f>111652.88+9605.09</f>
        <v>121257.97</v>
      </c>
      <c r="H295" s="18">
        <f>44280.99</f>
        <v>44280.99</v>
      </c>
      <c r="I295" s="18">
        <f>923.38</f>
        <v>923.38</v>
      </c>
      <c r="J295" s="18"/>
      <c r="K295" s="18"/>
      <c r="L295" s="19">
        <f>SUM(F295:K295)</f>
        <v>482408.97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28629.5+32001.75</f>
        <v>60631.25</v>
      </c>
      <c r="G297" s="18">
        <f>4820.22+4779.27</f>
        <v>9599.4900000000016</v>
      </c>
      <c r="H297" s="18"/>
      <c r="I297" s="18">
        <f>2750.62</f>
        <v>2750.62</v>
      </c>
      <c r="J297" s="18"/>
      <c r="K297" s="18"/>
      <c r="L297" s="19">
        <f>SUM(F297:K297)</f>
        <v>72981.36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44565+675+474.91</f>
        <v>45714.91</v>
      </c>
      <c r="G299" s="18">
        <f>5750.27+120.1+40.62</f>
        <v>5910.9900000000007</v>
      </c>
      <c r="H299" s="18">
        <f>13143.36</f>
        <v>13143.36</v>
      </c>
      <c r="I299" s="18">
        <f>727.9</f>
        <v>727.9</v>
      </c>
      <c r="J299" s="18"/>
      <c r="K299" s="18"/>
      <c r="L299" s="19">
        <f t="shared" ref="L299:L305" si="14">SUM(F299:K299)</f>
        <v>65497.16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14683.49+19731.64</f>
        <v>34415.129999999997</v>
      </c>
      <c r="G300" s="18">
        <f>1270.07+13944.81</f>
        <v>15214.88</v>
      </c>
      <c r="H300" s="18">
        <f>11275+8025.55+32658.44</f>
        <v>51958.99</v>
      </c>
      <c r="I300" s="18">
        <f>1679.59+7829.79</f>
        <v>9509.3799999999992</v>
      </c>
      <c r="J300" s="18">
        <f>2030.01</f>
        <v>2030.01</v>
      </c>
      <c r="K300" s="18"/>
      <c r="L300" s="19">
        <f t="shared" si="14"/>
        <v>113128.39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10537.6</f>
        <v>10537.6</v>
      </c>
      <c r="I305" s="18"/>
      <c r="J305" s="18"/>
      <c r="K305" s="18"/>
      <c r="L305" s="19">
        <f t="shared" si="14"/>
        <v>10537.6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456707.92000000004</v>
      </c>
      <c r="G308" s="42">
        <f t="shared" si="15"/>
        <v>151983.33000000002</v>
      </c>
      <c r="H308" s="42">
        <f t="shared" si="15"/>
        <v>120110.70999999999</v>
      </c>
      <c r="I308" s="42">
        <f t="shared" si="15"/>
        <v>17934.309999999998</v>
      </c>
      <c r="J308" s="42">
        <f t="shared" si="15"/>
        <v>6317.96</v>
      </c>
      <c r="K308" s="42">
        <f t="shared" si="15"/>
        <v>0</v>
      </c>
      <c r="L308" s="41">
        <f t="shared" si="15"/>
        <v>753054.23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16050.48</f>
        <v>16050.48</v>
      </c>
      <c r="G313" s="18">
        <f>5225.73</f>
        <v>5225.7299999999996</v>
      </c>
      <c r="H313" s="18">
        <f>0+312.54</f>
        <v>312.54000000000002</v>
      </c>
      <c r="I313" s="18">
        <f>5629.6+734.27</f>
        <v>6363.8700000000008</v>
      </c>
      <c r="J313" s="18">
        <f>4106.53</f>
        <v>4106.53</v>
      </c>
      <c r="K313" s="18"/>
      <c r="L313" s="19">
        <f>SUM(F313:K313)</f>
        <v>32059.15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14354.26+23412.86</f>
        <v>37767.120000000003</v>
      </c>
      <c r="G314" s="18">
        <f>7180.75+1944.51</f>
        <v>9125.26</v>
      </c>
      <c r="H314" s="18">
        <f>73632.23</f>
        <v>73632.23</v>
      </c>
      <c r="I314" s="18">
        <f>3491.2+1535.43</f>
        <v>5026.63</v>
      </c>
      <c r="J314" s="18"/>
      <c r="K314" s="18"/>
      <c r="L314" s="19">
        <f>SUM(F314:K314)</f>
        <v>125551.24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53742+18241.77+23849.3</f>
        <v>95833.07</v>
      </c>
      <c r="G315" s="18">
        <f>18930.9+2102.75+2597.74</f>
        <v>23631.39</v>
      </c>
      <c r="H315" s="18">
        <f>9812.72+4117.01+11867.91+2540</f>
        <v>28337.64</v>
      </c>
      <c r="I315" s="18">
        <f>3086.96+500+2066.63+11939.55+500</f>
        <v>18093.14</v>
      </c>
      <c r="J315" s="18">
        <f>24402.9+28090.75+32973.5+7803.01</f>
        <v>93270.159999999989</v>
      </c>
      <c r="K315" s="18">
        <v>200</v>
      </c>
      <c r="L315" s="19">
        <f>SUM(F315:K315)</f>
        <v>259365.39999999997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3216+16524+18643.06</f>
        <v>38383.06</v>
      </c>
      <c r="G316" s="18">
        <f>310.16+2631.16+2731.84</f>
        <v>5673.16</v>
      </c>
      <c r="H316" s="18">
        <f>120</f>
        <v>120</v>
      </c>
      <c r="I316" s="18">
        <f>880+1954.75</f>
        <v>2834.75</v>
      </c>
      <c r="J316" s="18"/>
      <c r="K316" s="18"/>
      <c r="L316" s="19">
        <f>SUM(F316:K316)</f>
        <v>47010.97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68654.2+10500+2579.3+782.15</f>
        <v>82515.649999999994</v>
      </c>
      <c r="G318" s="18">
        <f>15283.75+215.97+66.9</f>
        <v>15566.619999999999</v>
      </c>
      <c r="H318" s="18">
        <f>21646.46</f>
        <v>21646.46</v>
      </c>
      <c r="I318" s="18"/>
      <c r="J318" s="18"/>
      <c r="K318" s="18"/>
      <c r="L318" s="19">
        <f t="shared" ref="L318:L324" si="16">SUM(F318:K318)</f>
        <v>119728.72999999998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300.73+28692.23+340+32950.58</f>
        <v>62283.54</v>
      </c>
      <c r="G319" s="18">
        <f>25.17+9610.69+28.51+23286.95</f>
        <v>32951.32</v>
      </c>
      <c r="H319" s="18">
        <f>23628.12+4674.99+54537.52</f>
        <v>82840.63</v>
      </c>
      <c r="I319" s="18">
        <f>19688.66+13075.26</f>
        <v>32763.919999999998</v>
      </c>
      <c r="J319" s="18">
        <f>97.35+3389.98</f>
        <v>3487.33</v>
      </c>
      <c r="K319" s="18">
        <f>11691</f>
        <v>11691</v>
      </c>
      <c r="L319" s="19">
        <f t="shared" si="16"/>
        <v>226017.73999999996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22542.6+517.74+30485.25</f>
        <v>53545.59</v>
      </c>
      <c r="I324" s="18"/>
      <c r="J324" s="18"/>
      <c r="K324" s="18"/>
      <c r="L324" s="19">
        <f t="shared" si="16"/>
        <v>53545.59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332832.92</v>
      </c>
      <c r="G327" s="42">
        <f t="shared" si="17"/>
        <v>92173.479999999981</v>
      </c>
      <c r="H327" s="42">
        <f t="shared" si="17"/>
        <v>260435.09</v>
      </c>
      <c r="I327" s="42">
        <f t="shared" si="17"/>
        <v>65082.31</v>
      </c>
      <c r="J327" s="42">
        <f t="shared" si="17"/>
        <v>100864.01999999999</v>
      </c>
      <c r="K327" s="42">
        <f t="shared" si="17"/>
        <v>11891</v>
      </c>
      <c r="L327" s="41">
        <f t="shared" si="17"/>
        <v>863278.82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99105.98</f>
        <v>99105.98</v>
      </c>
      <c r="G332" s="18">
        <f>17380.6</f>
        <v>17380.599999999999</v>
      </c>
      <c r="H332" s="18">
        <f>3987.6</f>
        <v>3987.6</v>
      </c>
      <c r="I332" s="18">
        <f>20354.03</f>
        <v>20354.03</v>
      </c>
      <c r="J332" s="18">
        <f>6041.1</f>
        <v>6041.1</v>
      </c>
      <c r="K332" s="18"/>
      <c r="L332" s="19">
        <f t="shared" si="18"/>
        <v>146869.31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f>300.98</f>
        <v>300.98</v>
      </c>
      <c r="I335" s="18"/>
      <c r="J335" s="18"/>
      <c r="K335" s="18"/>
      <c r="L335" s="19">
        <f t="shared" si="18"/>
        <v>300.98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99105.98</v>
      </c>
      <c r="G336" s="41">
        <f t="shared" si="19"/>
        <v>17380.599999999999</v>
      </c>
      <c r="H336" s="41">
        <f t="shared" si="19"/>
        <v>4288.58</v>
      </c>
      <c r="I336" s="41">
        <f t="shared" si="19"/>
        <v>20354.03</v>
      </c>
      <c r="J336" s="41">
        <f t="shared" si="19"/>
        <v>6041.1</v>
      </c>
      <c r="K336" s="41">
        <f t="shared" si="19"/>
        <v>0</v>
      </c>
      <c r="L336" s="41">
        <f t="shared" si="18"/>
        <v>147170.29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2293079.41</v>
      </c>
      <c r="G337" s="41">
        <f t="shared" si="20"/>
        <v>655137.52</v>
      </c>
      <c r="H337" s="41">
        <f t="shared" si="20"/>
        <v>581614.77999999991</v>
      </c>
      <c r="I337" s="41">
        <f t="shared" si="20"/>
        <v>151088.72</v>
      </c>
      <c r="J337" s="41">
        <f t="shared" si="20"/>
        <v>127332.98999999999</v>
      </c>
      <c r="K337" s="41">
        <f t="shared" si="20"/>
        <v>11891</v>
      </c>
      <c r="L337" s="41">
        <f t="shared" si="20"/>
        <v>3820144.4200000004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998.39+103186.43</f>
        <v>104184.81999999999</v>
      </c>
      <c r="L343" s="19">
        <f t="shared" ref="L343:L349" si="21">SUM(F343:K343)</f>
        <v>104184.81999999999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104184.81999999999</v>
      </c>
      <c r="L350" s="41">
        <f>SUM(L340:L349)</f>
        <v>104184.81999999999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2293079.41</v>
      </c>
      <c r="G351" s="41">
        <f>G337</f>
        <v>655137.52</v>
      </c>
      <c r="H351" s="41">
        <f>H337</f>
        <v>581614.77999999991</v>
      </c>
      <c r="I351" s="41">
        <f>I337</f>
        <v>151088.72</v>
      </c>
      <c r="J351" s="41">
        <f>J337</f>
        <v>127332.98999999999</v>
      </c>
      <c r="K351" s="47">
        <f>K337+K350</f>
        <v>116075.81999999999</v>
      </c>
      <c r="L351" s="41">
        <f>L337+L350</f>
        <v>3924329.24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191969.6+69783.32</f>
        <v>261752.92</v>
      </c>
      <c r="G357" s="18">
        <f>77622.23+26751.93</f>
        <v>104374.16</v>
      </c>
      <c r="H357" s="18">
        <f>5940+2140.26</f>
        <v>8080.26</v>
      </c>
      <c r="I357" s="18">
        <f>237039.42+78923.99</f>
        <v>315963.41000000003</v>
      </c>
      <c r="J357" s="18">
        <f>17986</f>
        <v>17986</v>
      </c>
      <c r="K357" s="18">
        <f>24.75+330.33</f>
        <v>355.08</v>
      </c>
      <c r="L357" s="13">
        <f>SUM(F357:K357)</f>
        <v>708511.83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107069.23+35349.04</f>
        <v>142418.26999999999</v>
      </c>
      <c r="G358" s="18">
        <f>36679.28+13551.3</f>
        <v>50230.58</v>
      </c>
      <c r="H358" s="18">
        <f>1535.66+1084.16</f>
        <v>2619.8200000000002</v>
      </c>
      <c r="I358" s="18">
        <f>183687.47+39979.28</f>
        <v>223666.75</v>
      </c>
      <c r="J358" s="18">
        <f>100.45</f>
        <v>100.45</v>
      </c>
      <c r="K358" s="18">
        <f>62.7+167.33</f>
        <v>230.03000000000003</v>
      </c>
      <c r="L358" s="19">
        <f>SUM(F358:K358)</f>
        <v>419265.9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135630.56+58218.1</f>
        <v>193848.66</v>
      </c>
      <c r="G359" s="18">
        <f>31573.6+22318.32</f>
        <v>53891.92</v>
      </c>
      <c r="H359" s="18">
        <f>2221+1785.56</f>
        <v>4006.56</v>
      </c>
      <c r="I359" s="18">
        <f>235786.64+65843.88</f>
        <v>301630.52</v>
      </c>
      <c r="J359" s="18">
        <f>54.4</f>
        <v>54.4</v>
      </c>
      <c r="K359" s="18">
        <f>218.61+275.59</f>
        <v>494.2</v>
      </c>
      <c r="L359" s="19">
        <f>SUM(F359:K359)</f>
        <v>553926.26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598019.85</v>
      </c>
      <c r="G361" s="47">
        <f t="shared" si="22"/>
        <v>208496.65999999997</v>
      </c>
      <c r="H361" s="47">
        <f t="shared" si="22"/>
        <v>14706.64</v>
      </c>
      <c r="I361" s="47">
        <f t="shared" si="22"/>
        <v>841260.68</v>
      </c>
      <c r="J361" s="47">
        <f t="shared" si="22"/>
        <v>18140.850000000002</v>
      </c>
      <c r="K361" s="47">
        <f t="shared" si="22"/>
        <v>1079.31</v>
      </c>
      <c r="L361" s="47">
        <f t="shared" si="22"/>
        <v>1681703.99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206581.56+72729.17-0.01</f>
        <v>279310.71999999997</v>
      </c>
      <c r="G366" s="18">
        <f>10602.31+36840.91</f>
        <v>47443.22</v>
      </c>
      <c r="H366" s="18">
        <f>11845.52+60675.14</f>
        <v>72520.66</v>
      </c>
      <c r="I366" s="56">
        <f>SUM(F366:H366)</f>
        <v>399274.6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30457.86+6194.83</f>
        <v>36652.69</v>
      </c>
      <c r="G367" s="63">
        <f>173085.16+3138.37</f>
        <v>176223.53</v>
      </c>
      <c r="H367" s="63">
        <f>223941.12+5168.74</f>
        <v>229109.86</v>
      </c>
      <c r="I367" s="56">
        <f>SUM(F367:H367)</f>
        <v>441986.07999999996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315963.40999999997</v>
      </c>
      <c r="G368" s="47">
        <f>SUM(G366:G367)</f>
        <v>223666.75</v>
      </c>
      <c r="H368" s="47">
        <f>SUM(H366:H367)</f>
        <v>301630.52</v>
      </c>
      <c r="I368" s="47">
        <f>SUM(I366:I367)</f>
        <v>841260.67999999993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f>259681.16+68028.5</f>
        <v>327709.66000000003</v>
      </c>
      <c r="I375" s="18"/>
      <c r="J375" s="18"/>
      <c r="K375" s="18"/>
      <c r="L375" s="13">
        <f t="shared" si="23"/>
        <v>327709.66000000003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2907149.99+9.96</f>
        <v>2907159.95</v>
      </c>
      <c r="I377" s="18"/>
      <c r="J377" s="18"/>
      <c r="K377" s="18">
        <f>199.5</f>
        <v>199.5</v>
      </c>
      <c r="L377" s="13">
        <f t="shared" si="23"/>
        <v>2907359.45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f>50685.82+59303.99+16637.77</f>
        <v>126627.58</v>
      </c>
      <c r="I378" s="18">
        <f>5803.18+14932.68</f>
        <v>20735.86</v>
      </c>
      <c r="J378" s="18"/>
      <c r="K378" s="18"/>
      <c r="L378" s="13">
        <f t="shared" si="23"/>
        <v>147363.44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f>41831.22</f>
        <v>41831.22</v>
      </c>
      <c r="G379" s="18">
        <f>6848.25</f>
        <v>6848.25</v>
      </c>
      <c r="H379" s="18">
        <f>11687.97+3178.05</f>
        <v>14866.02</v>
      </c>
      <c r="I379" s="18">
        <f>-848.92</f>
        <v>-848.92</v>
      </c>
      <c r="J379" s="18">
        <f>9366.29+12809.74+7113.8+54633.3+1995405.86+18056.1</f>
        <v>2097385.0900000003</v>
      </c>
      <c r="K379" s="18">
        <f>3069.67</f>
        <v>3069.67</v>
      </c>
      <c r="L379" s="13">
        <f t="shared" si="23"/>
        <v>2163151.33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41831.22</v>
      </c>
      <c r="G381" s="139">
        <f t="shared" ref="G381:L381" si="24">SUM(G373:G380)</f>
        <v>6848.25</v>
      </c>
      <c r="H381" s="139">
        <f t="shared" si="24"/>
        <v>3376363.2100000004</v>
      </c>
      <c r="I381" s="41">
        <f t="shared" si="24"/>
        <v>19886.940000000002</v>
      </c>
      <c r="J381" s="47">
        <f t="shared" si="24"/>
        <v>2097385.0900000003</v>
      </c>
      <c r="K381" s="47">
        <f t="shared" si="24"/>
        <v>3269.17</v>
      </c>
      <c r="L381" s="47">
        <f t="shared" si="24"/>
        <v>5545583.8800000008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f>747081.7+900000</f>
        <v>1647081.7</v>
      </c>
      <c r="H399" s="18">
        <f>1313.78+116.17</f>
        <v>1429.95</v>
      </c>
      <c r="I399" s="18">
        <f>1475</f>
        <v>1475</v>
      </c>
      <c r="J399" s="24" t="s">
        <v>289</v>
      </c>
      <c r="K399" s="24" t="s">
        <v>289</v>
      </c>
      <c r="L399" s="56">
        <f t="shared" si="26"/>
        <v>1649986.65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1647081.7</v>
      </c>
      <c r="H400" s="47">
        <f>SUM(H394:H399)</f>
        <v>1429.95</v>
      </c>
      <c r="I400" s="47">
        <f>SUM(I394:I399)</f>
        <v>1475</v>
      </c>
      <c r="J400" s="45" t="s">
        <v>289</v>
      </c>
      <c r="K400" s="45" t="s">
        <v>289</v>
      </c>
      <c r="L400" s="47">
        <f>SUM(L394:L399)</f>
        <v>1649986.65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1647081.7</v>
      </c>
      <c r="H407" s="47">
        <f>H392+H400+H406</f>
        <v>1429.95</v>
      </c>
      <c r="I407" s="47">
        <f>I392+I400+I406</f>
        <v>1475</v>
      </c>
      <c r="J407" s="24" t="s">
        <v>289</v>
      </c>
      <c r="K407" s="24" t="s">
        <v>289</v>
      </c>
      <c r="L407" s="47">
        <f>L392+L400+L406</f>
        <v>1649986.65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1872790.37</v>
      </c>
      <c r="L425" s="56">
        <f t="shared" si="29"/>
        <v>1872790.37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1872790.37</v>
      </c>
      <c r="L426" s="47">
        <f t="shared" si="30"/>
        <v>1872790.37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912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v>9886.84</v>
      </c>
      <c r="I428" s="18"/>
      <c r="J428" s="18"/>
      <c r="K428" s="18"/>
      <c r="L428" s="56">
        <f>SUM(F428:K428)</f>
        <v>9886.84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9886.84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9886.84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9886.84</v>
      </c>
      <c r="I433" s="47">
        <f t="shared" si="32"/>
        <v>0</v>
      </c>
      <c r="J433" s="47">
        <f t="shared" si="32"/>
        <v>0</v>
      </c>
      <c r="K433" s="47">
        <f t="shared" si="32"/>
        <v>1872790.37</v>
      </c>
      <c r="L433" s="47">
        <f t="shared" si="32"/>
        <v>1882677.2100000002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6030124.99+313418.52</f>
        <v>6343543.5099999998</v>
      </c>
      <c r="H439" s="18"/>
      <c r="I439" s="56">
        <f t="shared" si="33"/>
        <v>6343543.5099999998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f>76487.54-1247559.2</f>
        <v>-1171071.6599999999</v>
      </c>
      <c r="H440" s="18"/>
      <c r="I440" s="56">
        <f t="shared" si="33"/>
        <v>-1171071.6599999999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0</v>
      </c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5172471.8499999996</v>
      </c>
      <c r="H445" s="13">
        <f>SUM(H438:H444)</f>
        <v>0</v>
      </c>
      <c r="I445" s="13">
        <f>SUM(I438:I444)</f>
        <v>5172471.8499999996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f>76487.54+568932.75</f>
        <v>645420.29</v>
      </c>
      <c r="H447" s="18"/>
      <c r="I447" s="56">
        <f>SUM(F447:H447)</f>
        <v>645420.29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645420.29</v>
      </c>
      <c r="H451" s="72">
        <f>SUM(H447:H450)</f>
        <v>0</v>
      </c>
      <c r="I451" s="72">
        <f>SUM(I447:I450)</f>
        <v>645420.29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>
        <v>1000</v>
      </c>
      <c r="H453" s="18"/>
      <c r="I453" s="56">
        <f t="shared" ref="I453:I458" si="34">SUM(F453:H453)</f>
        <v>1000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4213633.04+312418.52</f>
        <v>4526051.5600000005</v>
      </c>
      <c r="H458" s="18"/>
      <c r="I458" s="56">
        <f t="shared" si="34"/>
        <v>4526051.5600000005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4527051.5600000005</v>
      </c>
      <c r="H459" s="83">
        <f>SUM(H453:H458)</f>
        <v>0</v>
      </c>
      <c r="I459" s="83">
        <f>SUM(I453:I458)</f>
        <v>4527051.5600000005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5172471.8500000006</v>
      </c>
      <c r="H460" s="42">
        <f>H451+H459</f>
        <v>0</v>
      </c>
      <c r="I460" s="42">
        <f>I451+I459</f>
        <v>5172471.8500000006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3100814.09</v>
      </c>
      <c r="G464" s="18">
        <v>41822.230000000003</v>
      </c>
      <c r="H464" s="18">
        <v>132035.85999999999</v>
      </c>
      <c r="I464" s="18">
        <v>9431801.0999999996</v>
      </c>
      <c r="J464" s="18">
        <v>4759742.12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70069577.719999999</v>
      </c>
      <c r="G467" s="18">
        <v>1643803.24</v>
      </c>
      <c r="H467" s="18">
        <v>3962270.1</v>
      </c>
      <c r="I467" s="18">
        <v>150794.85</v>
      </c>
      <c r="J467" s="18">
        <v>1649986.65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70069577.719999999</v>
      </c>
      <c r="G469" s="53">
        <f>SUM(G467:G468)</f>
        <v>1643803.24</v>
      </c>
      <c r="H469" s="53">
        <f>SUM(H467:H468)</f>
        <v>3962270.1</v>
      </c>
      <c r="I469" s="53">
        <f>SUM(I467:I468)</f>
        <v>150794.85</v>
      </c>
      <c r="J469" s="53">
        <f>SUM(J467:J468)</f>
        <v>1649986.65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70311064.969999999</v>
      </c>
      <c r="G471" s="18">
        <v>1681703.99</v>
      </c>
      <c r="H471" s="18">
        <v>3924329.24</v>
      </c>
      <c r="I471" s="18">
        <v>5545583.8799999999</v>
      </c>
      <c r="J471" s="18">
        <v>1882677.21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70311064.969999999</v>
      </c>
      <c r="G473" s="53">
        <f>SUM(G471:G472)</f>
        <v>1681703.99</v>
      </c>
      <c r="H473" s="53">
        <f>SUM(H471:H472)</f>
        <v>3924329.24</v>
      </c>
      <c r="I473" s="53">
        <f>SUM(I471:I472)</f>
        <v>5545583.8799999999</v>
      </c>
      <c r="J473" s="53">
        <f>SUM(J471:J472)</f>
        <v>1882677.21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2859326.8400000036</v>
      </c>
      <c r="G475" s="53">
        <f>(G464+G469)- G473</f>
        <v>3921.4799999999814</v>
      </c>
      <c r="H475" s="53">
        <f>(H464+H469)- H473</f>
        <v>169976.71999999974</v>
      </c>
      <c r="I475" s="53">
        <f>(I464+I469)- I473</f>
        <v>4037012.0699999994</v>
      </c>
      <c r="J475" s="53">
        <f>(J464+J469)- J473</f>
        <v>4527051.5599999996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33198041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911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64151494.990000002</v>
      </c>
      <c r="G494" s="18"/>
      <c r="H494" s="18"/>
      <c r="I494" s="18"/>
      <c r="J494" s="18"/>
      <c r="K494" s="53">
        <f>SUM(F494:J494)</f>
        <v>64151494.990000002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3847854.99</v>
      </c>
      <c r="G496" s="18"/>
      <c r="H496" s="18"/>
      <c r="I496" s="18"/>
      <c r="J496" s="18"/>
      <c r="K496" s="53">
        <f t="shared" si="35"/>
        <v>3847854.99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60303640</v>
      </c>
      <c r="G497" s="204"/>
      <c r="H497" s="204"/>
      <c r="I497" s="204"/>
      <c r="J497" s="204"/>
      <c r="K497" s="205">
        <f t="shared" si="35"/>
        <v>60303640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28614061.23</v>
      </c>
      <c r="G498" s="18"/>
      <c r="H498" s="18"/>
      <c r="I498" s="18"/>
      <c r="J498" s="18"/>
      <c r="K498" s="53">
        <f t="shared" si="35"/>
        <v>28614061.23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88917701.230000004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88917701.230000004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3826700</v>
      </c>
      <c r="G500" s="204"/>
      <c r="H500" s="204"/>
      <c r="I500" s="204"/>
      <c r="J500" s="204"/>
      <c r="K500" s="205">
        <f t="shared" si="35"/>
        <v>3826700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3190843.16-944439.13</f>
        <v>2246404.0300000003</v>
      </c>
      <c r="G501" s="18"/>
      <c r="H501" s="18"/>
      <c r="I501" s="18"/>
      <c r="J501" s="18"/>
      <c r="K501" s="53">
        <f t="shared" si="35"/>
        <v>2246404.0300000003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6073104.0300000003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6073104.0300000003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3747253.58</v>
      </c>
      <c r="G520" s="18">
        <v>1225598.54</v>
      </c>
      <c r="H520" s="18">
        <v>282406.74</v>
      </c>
      <c r="I520" s="18">
        <v>20761.79</v>
      </c>
      <c r="J520" s="18">
        <v>1098.69</v>
      </c>
      <c r="K520" s="18"/>
      <c r="L520" s="88">
        <f>SUM(F520:K520)</f>
        <v>5277119.3400000008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1496142.48</v>
      </c>
      <c r="G521" s="18">
        <v>517766</v>
      </c>
      <c r="H521" s="18">
        <v>764785.55</v>
      </c>
      <c r="I521" s="18">
        <v>5801.93</v>
      </c>
      <c r="J521" s="18">
        <v>885.7</v>
      </c>
      <c r="K521" s="18"/>
      <c r="L521" s="88">
        <f>SUM(F521:K521)</f>
        <v>2785381.6600000006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2572949.21</v>
      </c>
      <c r="G522" s="18">
        <v>993353.2</v>
      </c>
      <c r="H522" s="18">
        <v>921225.63</v>
      </c>
      <c r="I522" s="18">
        <v>20206.009999999998</v>
      </c>
      <c r="J522" s="18">
        <v>1707.79</v>
      </c>
      <c r="K522" s="18">
        <v>455</v>
      </c>
      <c r="L522" s="88">
        <f>SUM(F522:K522)</f>
        <v>4509896.84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7816345.2700000005</v>
      </c>
      <c r="G523" s="108">
        <f t="shared" ref="G523:L523" si="36">SUM(G520:G522)</f>
        <v>2736717.74</v>
      </c>
      <c r="H523" s="108">
        <f t="shared" si="36"/>
        <v>1968417.92</v>
      </c>
      <c r="I523" s="108">
        <f t="shared" si="36"/>
        <v>46769.729999999996</v>
      </c>
      <c r="J523" s="108">
        <f t="shared" si="36"/>
        <v>3692.1800000000003</v>
      </c>
      <c r="K523" s="108">
        <f t="shared" si="36"/>
        <v>455</v>
      </c>
      <c r="L523" s="89">
        <f t="shared" si="36"/>
        <v>12572397.840000002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1124002.78</v>
      </c>
      <c r="G525" s="18">
        <v>389086.38</v>
      </c>
      <c r="H525" s="18">
        <v>207017.78</v>
      </c>
      <c r="I525" s="18">
        <v>5895.19</v>
      </c>
      <c r="J525" s="18">
        <v>3456.4</v>
      </c>
      <c r="K525" s="18">
        <v>11.08</v>
      </c>
      <c r="L525" s="88">
        <f>SUM(F525:K525)</f>
        <v>1729469.61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223744.378</v>
      </c>
      <c r="G526" s="18">
        <v>75990.25</v>
      </c>
      <c r="H526" s="18">
        <v>35624.660000000003</v>
      </c>
      <c r="I526" s="18">
        <v>1782.2</v>
      </c>
      <c r="J526" s="18">
        <v>1630.71</v>
      </c>
      <c r="K526" s="18">
        <v>5.23</v>
      </c>
      <c r="L526" s="88">
        <f>SUM(F526:K526)</f>
        <v>338777.42800000007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462608.82</v>
      </c>
      <c r="G527" s="18">
        <v>149777.21</v>
      </c>
      <c r="H527" s="18">
        <v>66583.210000000006</v>
      </c>
      <c r="I527" s="18">
        <v>2963.51</v>
      </c>
      <c r="J527" s="18">
        <v>2711.62</v>
      </c>
      <c r="K527" s="18">
        <v>8.69</v>
      </c>
      <c r="L527" s="88">
        <f>SUM(F527:K527)</f>
        <v>684653.05999999994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1810355.9780000001</v>
      </c>
      <c r="G528" s="89">
        <f t="shared" ref="G528:L528" si="37">SUM(G525:G527)</f>
        <v>614853.84</v>
      </c>
      <c r="H528" s="89">
        <f t="shared" si="37"/>
        <v>309225.65000000002</v>
      </c>
      <c r="I528" s="89">
        <f t="shared" si="37"/>
        <v>10640.9</v>
      </c>
      <c r="J528" s="89">
        <f t="shared" si="37"/>
        <v>7798.7300000000005</v>
      </c>
      <c r="K528" s="89">
        <f t="shared" si="37"/>
        <v>25</v>
      </c>
      <c r="L528" s="89">
        <f t="shared" si="37"/>
        <v>2752900.0980000002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62552.66</v>
      </c>
      <c r="G530" s="18">
        <v>27070.11</v>
      </c>
      <c r="H530" s="18"/>
      <c r="I530" s="18"/>
      <c r="J530" s="18"/>
      <c r="K530" s="18"/>
      <c r="L530" s="88">
        <f>SUM(F530:K530)</f>
        <v>89622.77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29512.1</v>
      </c>
      <c r="G531" s="18">
        <v>12771.57</v>
      </c>
      <c r="H531" s="18"/>
      <c r="I531" s="18"/>
      <c r="J531" s="18"/>
      <c r="K531" s="18"/>
      <c r="L531" s="88">
        <f>SUM(F531:K531)</f>
        <v>42283.67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49073.919999999998</v>
      </c>
      <c r="G532" s="18">
        <v>21237.09</v>
      </c>
      <c r="H532" s="18"/>
      <c r="I532" s="18"/>
      <c r="J532" s="18"/>
      <c r="K532" s="18"/>
      <c r="L532" s="88">
        <f>SUM(F532:K532)</f>
        <v>70311.009999999995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141138.68</v>
      </c>
      <c r="G533" s="89">
        <f t="shared" ref="G533:L533" si="38">SUM(G530:G532)</f>
        <v>61078.770000000004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202217.45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1178.98</v>
      </c>
      <c r="I535" s="18"/>
      <c r="J535" s="18"/>
      <c r="K535" s="18"/>
      <c r="L535" s="88">
        <f>SUM(F535:K535)</f>
        <v>1178.98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556.24</v>
      </c>
      <c r="I536" s="18"/>
      <c r="J536" s="18"/>
      <c r="K536" s="18"/>
      <c r="L536" s="88">
        <f>SUM(F536:K536)</f>
        <v>556.24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924.93</v>
      </c>
      <c r="I537" s="18"/>
      <c r="J537" s="18"/>
      <c r="K537" s="18"/>
      <c r="L537" s="88">
        <f>SUM(F537:K537)</f>
        <v>924.93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2660.15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2660.15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233622.09</v>
      </c>
      <c r="G540" s="18">
        <v>70388.820000000007</v>
      </c>
      <c r="H540" s="18">
        <v>64877.34</v>
      </c>
      <c r="I540" s="18"/>
      <c r="J540" s="18"/>
      <c r="K540" s="18">
        <v>333.12</v>
      </c>
      <c r="L540" s="88">
        <f>SUM(F540:K540)</f>
        <v>369221.37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118342.27</v>
      </c>
      <c r="G541" s="18">
        <v>35655.769999999997</v>
      </c>
      <c r="H541" s="18">
        <v>32863.9</v>
      </c>
      <c r="I541" s="18"/>
      <c r="J541" s="18"/>
      <c r="K541" s="18">
        <v>168.74</v>
      </c>
      <c r="L541" s="88">
        <f>SUM(F541:K541)</f>
        <v>187030.68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194903.82</v>
      </c>
      <c r="G542" s="18">
        <v>58723.26</v>
      </c>
      <c r="H542" s="18">
        <v>54125.2</v>
      </c>
      <c r="I542" s="18"/>
      <c r="J542" s="18"/>
      <c r="K542" s="18">
        <v>277.91000000000003</v>
      </c>
      <c r="L542" s="88">
        <f>SUM(F542:K542)</f>
        <v>308030.19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546868.17999999993</v>
      </c>
      <c r="G543" s="193">
        <f t="shared" ref="G543:L543" si="40">SUM(G540:G542)</f>
        <v>164767.85</v>
      </c>
      <c r="H543" s="193">
        <f t="shared" si="40"/>
        <v>151866.44</v>
      </c>
      <c r="I543" s="193">
        <f t="shared" si="40"/>
        <v>0</v>
      </c>
      <c r="J543" s="193">
        <f t="shared" si="40"/>
        <v>0</v>
      </c>
      <c r="K543" s="193">
        <f t="shared" si="40"/>
        <v>779.77</v>
      </c>
      <c r="L543" s="193">
        <f t="shared" si="40"/>
        <v>864282.24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10314708.107999999</v>
      </c>
      <c r="G544" s="89">
        <f t="shared" ref="G544:L544" si="41">G523+G528+G533+G538+G543</f>
        <v>3577418.2</v>
      </c>
      <c r="H544" s="89">
        <f t="shared" si="41"/>
        <v>2432170.1599999997</v>
      </c>
      <c r="I544" s="89">
        <f t="shared" si="41"/>
        <v>57410.63</v>
      </c>
      <c r="J544" s="89">
        <f t="shared" si="41"/>
        <v>11490.91</v>
      </c>
      <c r="K544" s="89">
        <f t="shared" si="41"/>
        <v>1259.77</v>
      </c>
      <c r="L544" s="89">
        <f t="shared" si="41"/>
        <v>16394457.778000001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5277119.3400000008</v>
      </c>
      <c r="G548" s="87">
        <f>L525</f>
        <v>1729469.61</v>
      </c>
      <c r="H548" s="87">
        <f>L530</f>
        <v>89622.77</v>
      </c>
      <c r="I548" s="87">
        <f>L535</f>
        <v>1178.98</v>
      </c>
      <c r="J548" s="87">
        <f>L540</f>
        <v>369221.37</v>
      </c>
      <c r="K548" s="87">
        <f>SUM(F548:J548)</f>
        <v>7466612.0700000012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2785381.6600000006</v>
      </c>
      <c r="G549" s="87">
        <f>L526</f>
        <v>338777.42800000007</v>
      </c>
      <c r="H549" s="87">
        <f>L531</f>
        <v>42283.67</v>
      </c>
      <c r="I549" s="87">
        <f>L536</f>
        <v>556.24</v>
      </c>
      <c r="J549" s="87">
        <f>L541</f>
        <v>187030.68</v>
      </c>
      <c r="K549" s="87">
        <f>SUM(F549:J549)</f>
        <v>3354029.6780000008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4509896.84</v>
      </c>
      <c r="G550" s="87">
        <f>L527</f>
        <v>684653.05999999994</v>
      </c>
      <c r="H550" s="87">
        <f>L532</f>
        <v>70311.009999999995</v>
      </c>
      <c r="I550" s="87">
        <f>L537</f>
        <v>924.93</v>
      </c>
      <c r="J550" s="87">
        <f>L542</f>
        <v>308030.19</v>
      </c>
      <c r="K550" s="87">
        <f>SUM(F550:J550)</f>
        <v>5573816.0299999993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12572397.840000002</v>
      </c>
      <c r="G551" s="89">
        <f t="shared" si="42"/>
        <v>2752900.0980000002</v>
      </c>
      <c r="H551" s="89">
        <f t="shared" si="42"/>
        <v>202217.45</v>
      </c>
      <c r="I551" s="89">
        <f t="shared" si="42"/>
        <v>2660.15</v>
      </c>
      <c r="J551" s="89">
        <f t="shared" si="42"/>
        <v>864282.24</v>
      </c>
      <c r="K551" s="89">
        <f t="shared" si="42"/>
        <v>16394457.778000001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438498.9</v>
      </c>
      <c r="G556" s="18">
        <v>110407.61</v>
      </c>
      <c r="H556" s="18"/>
      <c r="I556" s="18"/>
      <c r="J556" s="18"/>
      <c r="K556" s="18"/>
      <c r="L556" s="88">
        <f>SUM(F556:K556)</f>
        <v>548906.51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38972.300000000003</v>
      </c>
      <c r="G557" s="18">
        <v>9605.09</v>
      </c>
      <c r="H557" s="18"/>
      <c r="I557" s="18"/>
      <c r="J557" s="18"/>
      <c r="K557" s="18"/>
      <c r="L557" s="88">
        <f>SUM(F557:K557)</f>
        <v>48577.39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23412.86</v>
      </c>
      <c r="G558" s="18">
        <v>1944.51</v>
      </c>
      <c r="H558" s="18"/>
      <c r="I558" s="18"/>
      <c r="J558" s="18"/>
      <c r="K558" s="18"/>
      <c r="L558" s="88">
        <f>SUM(F558:K558)</f>
        <v>25357.37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500884.06</v>
      </c>
      <c r="G559" s="108">
        <f t="shared" si="43"/>
        <v>121957.20999999999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622841.27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90467.91</v>
      </c>
      <c r="I561" s="18">
        <v>135.4</v>
      </c>
      <c r="J561" s="18"/>
      <c r="K561" s="18"/>
      <c r="L561" s="88">
        <f>SUM(F561:K561)</f>
        <v>90603.31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>
        <v>45826.9</v>
      </c>
      <c r="I562" s="18">
        <v>68.59</v>
      </c>
      <c r="J562" s="18"/>
      <c r="K562" s="18"/>
      <c r="L562" s="88">
        <f>SUM(F562:K562)</f>
        <v>45895.49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>
        <v>75474.62</v>
      </c>
      <c r="I563" s="18">
        <v>112.96</v>
      </c>
      <c r="J563" s="18"/>
      <c r="K563" s="18"/>
      <c r="L563" s="88">
        <f>SUM(F563:K563)</f>
        <v>75587.58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211769.43</v>
      </c>
      <c r="I564" s="89">
        <f t="shared" si="44"/>
        <v>316.95</v>
      </c>
      <c r="J564" s="89">
        <f t="shared" si="44"/>
        <v>0</v>
      </c>
      <c r="K564" s="89">
        <f t="shared" si="44"/>
        <v>0</v>
      </c>
      <c r="L564" s="89">
        <f t="shared" si="44"/>
        <v>212086.38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500884.06</v>
      </c>
      <c r="G570" s="89">
        <f t="shared" ref="G570:L570" si="46">G559+G564+G569</f>
        <v>121957.20999999999</v>
      </c>
      <c r="H570" s="89">
        <f t="shared" si="46"/>
        <v>211769.43</v>
      </c>
      <c r="I570" s="89">
        <f t="shared" si="46"/>
        <v>316.95</v>
      </c>
      <c r="J570" s="89">
        <f t="shared" si="46"/>
        <v>0</v>
      </c>
      <c r="K570" s="89">
        <f t="shared" si="46"/>
        <v>0</v>
      </c>
      <c r="L570" s="89">
        <f t="shared" si="46"/>
        <v>834927.65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8735.07</v>
      </c>
      <c r="G578" s="18">
        <v>5584.16</v>
      </c>
      <c r="H578" s="18">
        <v>47142.76</v>
      </c>
      <c r="I578" s="87">
        <f t="shared" si="47"/>
        <v>61461.990000000005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70065.460000000006</v>
      </c>
      <c r="G581" s="18">
        <v>690732.5</v>
      </c>
      <c r="H581" s="18">
        <v>762841.36</v>
      </c>
      <c r="I581" s="87">
        <f t="shared" si="47"/>
        <v>1523639.3199999998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611347.75</v>
      </c>
      <c r="I590" s="18">
        <v>309633.84999999998</v>
      </c>
      <c r="J590" s="18">
        <v>509951.5</v>
      </c>
      <c r="K590" s="104">
        <f t="shared" ref="K590:K596" si="48">SUM(H590:J590)</f>
        <v>1430933.1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369221.37</v>
      </c>
      <c r="I591" s="18">
        <v>187030.68</v>
      </c>
      <c r="J591" s="18">
        <v>308030.19</v>
      </c>
      <c r="K591" s="104">
        <f t="shared" si="48"/>
        <v>864282.24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1989.92</v>
      </c>
      <c r="I592" s="18">
        <v>1008</v>
      </c>
      <c r="J592" s="18">
        <v>15475.94</v>
      </c>
      <c r="K592" s="104">
        <f t="shared" si="48"/>
        <v>18473.86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4494.49</v>
      </c>
      <c r="I593" s="18">
        <v>24763.11</v>
      </c>
      <c r="J593" s="18">
        <v>105973.32</v>
      </c>
      <c r="K593" s="104">
        <f t="shared" si="48"/>
        <v>135230.92000000001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3910.89</v>
      </c>
      <c r="I594" s="18">
        <v>10422.94</v>
      </c>
      <c r="J594" s="18">
        <v>16991.310000000001</v>
      </c>
      <c r="K594" s="104">
        <f t="shared" si="48"/>
        <v>31325.14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1475.29</v>
      </c>
      <c r="I595" s="18">
        <v>747.32</v>
      </c>
      <c r="J595" s="18">
        <v>1230.8</v>
      </c>
      <c r="K595" s="104">
        <f t="shared" si="48"/>
        <v>3453.41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29699.86</v>
      </c>
      <c r="I596" s="18">
        <v>3817.73</v>
      </c>
      <c r="J596" s="18">
        <v>6287.59</v>
      </c>
      <c r="K596" s="104">
        <f t="shared" si="48"/>
        <v>39805.180000000008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1022139.5700000001</v>
      </c>
      <c r="I597" s="108">
        <f>SUM(I590:I596)</f>
        <v>537423.62999999989</v>
      </c>
      <c r="J597" s="108">
        <f>SUM(J590:J596)</f>
        <v>963940.65</v>
      </c>
      <c r="K597" s="108">
        <f>SUM(K590:K596)</f>
        <v>2523503.85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77345.759999999995</v>
      </c>
      <c r="I603" s="18">
        <v>38020.29</v>
      </c>
      <c r="J603" s="18">
        <v>189094.88</v>
      </c>
      <c r="K603" s="104">
        <f>SUM(H603:J603)</f>
        <v>304460.93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77345.759999999995</v>
      </c>
      <c r="I604" s="108">
        <f>SUM(I601:I603)</f>
        <v>38020.29</v>
      </c>
      <c r="J604" s="108">
        <f>SUM(J601:J603)</f>
        <v>189094.88</v>
      </c>
      <c r="K604" s="108">
        <f>SUM(K601:K603)</f>
        <v>304460.93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52801.98</v>
      </c>
      <c r="G610" s="18">
        <v>6540.45</v>
      </c>
      <c r="H610" s="18">
        <v>48895.72</v>
      </c>
      <c r="I610" s="18">
        <v>5570.2</v>
      </c>
      <c r="J610" s="18">
        <v>1098.69</v>
      </c>
      <c r="K610" s="18"/>
      <c r="L610" s="88">
        <f>SUM(F610:K610)</f>
        <v>114907.04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21810.9</v>
      </c>
      <c r="G611" s="18">
        <v>2742.51</v>
      </c>
      <c r="H611" s="18">
        <v>22022.26</v>
      </c>
      <c r="I611" s="18">
        <v>2728</v>
      </c>
      <c r="J611" s="18">
        <v>518.36</v>
      </c>
      <c r="K611" s="18"/>
      <c r="L611" s="88">
        <f>SUM(F611:K611)</f>
        <v>49822.03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39491.56</v>
      </c>
      <c r="G612" s="18">
        <v>5231.04</v>
      </c>
      <c r="H612" s="18">
        <v>40309.410000000003</v>
      </c>
      <c r="I612" s="18">
        <v>4369.9399999999996</v>
      </c>
      <c r="J612" s="18">
        <v>861.95</v>
      </c>
      <c r="K612" s="18"/>
      <c r="L612" s="88">
        <f>SUM(F612:K612)</f>
        <v>90263.900000000009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114104.44</v>
      </c>
      <c r="G613" s="108">
        <f t="shared" si="49"/>
        <v>14514</v>
      </c>
      <c r="H613" s="108">
        <f t="shared" si="49"/>
        <v>111227.39</v>
      </c>
      <c r="I613" s="108">
        <f t="shared" si="49"/>
        <v>12668.14</v>
      </c>
      <c r="J613" s="108">
        <f t="shared" si="49"/>
        <v>2479</v>
      </c>
      <c r="K613" s="108">
        <f t="shared" si="49"/>
        <v>0</v>
      </c>
      <c r="L613" s="89">
        <f t="shared" si="49"/>
        <v>254992.97000000003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89716681.969999999</v>
      </c>
      <c r="H616" s="109">
        <f>SUM(F51)</f>
        <v>89716681.969999999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4883364.7</v>
      </c>
      <c r="H617" s="109">
        <f>SUM(G51)</f>
        <v>4883364.7000000011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18259752.360000003</v>
      </c>
      <c r="H618" s="109">
        <f>SUM(H51)</f>
        <v>18259752.359999999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66108209.599999994</v>
      </c>
      <c r="H619" s="109">
        <f>SUM(I51)</f>
        <v>66108209.600000009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5172471.8499999996</v>
      </c>
      <c r="H620" s="109">
        <f>SUM(J51)</f>
        <v>5172471.8500000006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2859326.84</v>
      </c>
      <c r="H621" s="109">
        <f>F475</f>
        <v>2859326.8400000036</v>
      </c>
      <c r="I621" s="121" t="s">
        <v>101</v>
      </c>
      <c r="J621" s="109">
        <f t="shared" ref="J621:J654" si="50">G621-H621</f>
        <v>-3.7252902984619141E-9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3921.4799999999996</v>
      </c>
      <c r="H622" s="109">
        <f>G475</f>
        <v>3921.4799999999814</v>
      </c>
      <c r="I622" s="121" t="s">
        <v>102</v>
      </c>
      <c r="J622" s="109">
        <f t="shared" si="50"/>
        <v>1.8189894035458565E-11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169976.71999999939</v>
      </c>
      <c r="H623" s="109">
        <f>H475</f>
        <v>169976.71999999974</v>
      </c>
      <c r="I623" s="121" t="s">
        <v>103</v>
      </c>
      <c r="J623" s="109">
        <f t="shared" si="50"/>
        <v>-3.4924596548080444E-10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4037012.0700000096</v>
      </c>
      <c r="H624" s="109">
        <f>I475</f>
        <v>4037012.0699999994</v>
      </c>
      <c r="I624" s="121" t="s">
        <v>104</v>
      </c>
      <c r="J624" s="109">
        <f t="shared" si="50"/>
        <v>1.0244548320770264E-8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4527051.5600000005</v>
      </c>
      <c r="H625" s="109">
        <f>J475</f>
        <v>4527051.5599999996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70069577.719999999</v>
      </c>
      <c r="H626" s="104">
        <f>SUM(F467)</f>
        <v>70069577.719999999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1643803.24</v>
      </c>
      <c r="H627" s="104">
        <f>SUM(G467)</f>
        <v>1643803.24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3962270.0999999996</v>
      </c>
      <c r="H628" s="104">
        <f>SUM(H467)</f>
        <v>3962270.1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150794.85</v>
      </c>
      <c r="H629" s="104">
        <f>SUM(I467)</f>
        <v>150794.85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1649986.65</v>
      </c>
      <c r="H630" s="104">
        <f>SUM(J467)</f>
        <v>1649986.65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70311064.969999999</v>
      </c>
      <c r="H631" s="104">
        <f>SUM(F471)</f>
        <v>70311064.969999999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3924329.24</v>
      </c>
      <c r="H632" s="104">
        <f>SUM(H471)</f>
        <v>3924329.24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841260.68</v>
      </c>
      <c r="H633" s="104">
        <f>I368</f>
        <v>841260.67999999993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1681703.99</v>
      </c>
      <c r="H634" s="104">
        <f>SUM(G471)</f>
        <v>1681703.99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5545583.8800000008</v>
      </c>
      <c r="H635" s="104">
        <f>SUM(I471)</f>
        <v>5545583.8799999999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1649986.65</v>
      </c>
      <c r="H636" s="164">
        <f>SUM(J467)</f>
        <v>1649986.65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1882677.2100000002</v>
      </c>
      <c r="H637" s="164">
        <f>SUM(J471)</f>
        <v>1882677.21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5172471.8499999996</v>
      </c>
      <c r="H639" s="104">
        <f>SUM(G460)</f>
        <v>5172471.8500000006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5172471.8499999996</v>
      </c>
      <c r="H641" s="104">
        <f>SUM(I460)</f>
        <v>5172471.8500000006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1429.95</v>
      </c>
      <c r="H643" s="104">
        <f>H407</f>
        <v>1429.95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1647081.7</v>
      </c>
      <c r="H644" s="104">
        <f>G407</f>
        <v>1647081.7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1649986.65</v>
      </c>
      <c r="H645" s="104">
        <f>L407</f>
        <v>1649986.65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2523503.85</v>
      </c>
      <c r="H646" s="104">
        <f>L207+L225+L243</f>
        <v>2523503.85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304460.93</v>
      </c>
      <c r="H647" s="104">
        <f>(J256+J337)-(J254+J335)</f>
        <v>304460.93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1022139.5700000001</v>
      </c>
      <c r="H648" s="104">
        <f>H597</f>
        <v>1022139.5700000001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537423.63</v>
      </c>
      <c r="H649" s="104">
        <f>I597</f>
        <v>537423.62999999989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963940.64999999991</v>
      </c>
      <c r="H650" s="104">
        <f>J597</f>
        <v>963940.65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1094.05</v>
      </c>
      <c r="H651" s="104">
        <f>K262+K344</f>
        <v>1094.05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1647081.7</v>
      </c>
      <c r="H654" s="104">
        <f>K265+K346</f>
        <v>1647081.7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27373863.199999999</v>
      </c>
      <c r="G659" s="19">
        <f>(L228+L308+L358)</f>
        <v>14350364.880000003</v>
      </c>
      <c r="H659" s="19">
        <f>(L246+L327+L359)</f>
        <v>24460627.27</v>
      </c>
      <c r="I659" s="19">
        <f>SUM(F659:H659)</f>
        <v>66184855.349999994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272184.70848856686</v>
      </c>
      <c r="G660" s="19">
        <f>(L358/IF(SUM(L357:L359)=0,1,SUM(L357:L359))*(SUM(G96:G109)))</f>
        <v>161066.84735341204</v>
      </c>
      <c r="H660" s="19">
        <f>(L359/IF(SUM(L357:L359)=0,1,SUM(L357:L359))*(SUM(G96:G109)))</f>
        <v>212798.50415802104</v>
      </c>
      <c r="I660" s="19">
        <f>SUM(F660:H660)</f>
        <v>646050.05999999994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1022692.5700000001</v>
      </c>
      <c r="G661" s="19">
        <f>(L225+L305)-(J225+J305)</f>
        <v>547961.23</v>
      </c>
      <c r="H661" s="19">
        <f>(L243+L324)-(J243+J324)</f>
        <v>1017486.2399999999</v>
      </c>
      <c r="I661" s="19">
        <f>SUM(F661:H661)</f>
        <v>2588140.04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271053.32999999996</v>
      </c>
      <c r="G662" s="199">
        <f>SUM(G574:G586)+SUM(I601:I603)+L611</f>
        <v>784158.9800000001</v>
      </c>
      <c r="H662" s="199">
        <f>SUM(H574:H586)+SUM(J601:J603)+L612</f>
        <v>1089342.8999999999</v>
      </c>
      <c r="I662" s="19">
        <f>SUM(F662:H662)</f>
        <v>2144555.21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25807932.591511432</v>
      </c>
      <c r="G663" s="19">
        <f>G659-SUM(G660:G662)</f>
        <v>12857177.82264659</v>
      </c>
      <c r="H663" s="19">
        <f>H659-SUM(H660:H662)</f>
        <v>22140999.625841979</v>
      </c>
      <c r="I663" s="19">
        <f>I659-SUM(I660:I662)</f>
        <v>60806110.039999992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1840.22</v>
      </c>
      <c r="G664" s="248">
        <v>1033.56</v>
      </c>
      <c r="H664" s="248">
        <v>1726.92</v>
      </c>
      <c r="I664" s="19">
        <f>SUM(F664:H664)</f>
        <v>4600.7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14024.37</v>
      </c>
      <c r="G666" s="19">
        <f>ROUND(G663/G664,2)</f>
        <v>12439.7</v>
      </c>
      <c r="H666" s="19">
        <f>ROUND(H663/H664,2)</f>
        <v>12821.09</v>
      </c>
      <c r="I666" s="19">
        <f>ROUND(I663/I664,2)</f>
        <v>13216.71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114.02</v>
      </c>
      <c r="I669" s="19">
        <f>SUM(F669:H669)</f>
        <v>114.02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14024.37</v>
      </c>
      <c r="G671" s="19">
        <f>ROUND((G663+G668)/(G664+G669),2)</f>
        <v>12439.7</v>
      </c>
      <c r="H671" s="19">
        <f>ROUND((H663+H668)/(H664+H669),2)</f>
        <v>12027.01</v>
      </c>
      <c r="I671" s="19">
        <f>ROUND((I663+I668)/(I664+I669),2)</f>
        <v>12897.08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Concord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18754119.489999998</v>
      </c>
      <c r="C9" s="229">
        <f>'DOE25'!G196+'DOE25'!G214+'DOE25'!G232+'DOE25'!G275+'DOE25'!G294+'DOE25'!G313</f>
        <v>7929566.6699999999</v>
      </c>
    </row>
    <row r="10" spans="1:3" x14ac:dyDescent="0.2">
      <c r="A10" t="s">
        <v>779</v>
      </c>
      <c r="B10" s="240">
        <v>17650660.449999999</v>
      </c>
      <c r="C10" s="240">
        <f>B10/B9*C9</f>
        <v>7463005.0684297523</v>
      </c>
    </row>
    <row r="11" spans="1:3" x14ac:dyDescent="0.2">
      <c r="A11" t="s">
        <v>780</v>
      </c>
      <c r="B11" s="240">
        <v>55673.88</v>
      </c>
      <c r="C11" s="240">
        <f>B11/B9*C9</f>
        <v>23539.8811164117</v>
      </c>
    </row>
    <row r="12" spans="1:3" x14ac:dyDescent="0.2">
      <c r="A12" t="s">
        <v>781</v>
      </c>
      <c r="B12" s="240">
        <f>B9-B10-B11</f>
        <v>1047785.1599999991</v>
      </c>
      <c r="C12" s="240">
        <f>B12/B9*C9</f>
        <v>443021.72045383567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18754119.489999998</v>
      </c>
      <c r="C13" s="231">
        <f>SUM(C10:C12)</f>
        <v>7929566.6699999999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7816345.2700000005</v>
      </c>
      <c r="C18" s="229">
        <f>'DOE25'!G197+'DOE25'!G215+'DOE25'!G233+'DOE25'!G276+'DOE25'!G295+'DOE25'!G314</f>
        <v>2916308.6799999997</v>
      </c>
    </row>
    <row r="19" spans="1:3" x14ac:dyDescent="0.2">
      <c r="A19" t="s">
        <v>779</v>
      </c>
      <c r="B19" s="240">
        <v>3902141.92</v>
      </c>
      <c r="C19" s="240">
        <f>B19/B18*C18</f>
        <v>1455904.2568865262</v>
      </c>
    </row>
    <row r="20" spans="1:3" x14ac:dyDescent="0.2">
      <c r="A20" t="s">
        <v>780</v>
      </c>
      <c r="B20" s="240">
        <v>3209690.05</v>
      </c>
      <c r="C20" s="240">
        <f>B20/B18*C18</f>
        <v>1197547.783469989</v>
      </c>
    </row>
    <row r="21" spans="1:3" x14ac:dyDescent="0.2">
      <c r="A21" t="s">
        <v>781</v>
      </c>
      <c r="B21" s="240">
        <f>B18-B19-B20</f>
        <v>704513.30000000075</v>
      </c>
      <c r="C21" s="240">
        <f>B21/B18*C18</f>
        <v>262856.63964348467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7816345.2700000005</v>
      </c>
      <c r="C22" s="231">
        <f>SUM(C19:C21)</f>
        <v>2916308.6799999997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681297.18000000017</v>
      </c>
      <c r="C27" s="234">
        <f>'DOE25'!G198+'DOE25'!G216+'DOE25'!G234+'DOE25'!G277+'DOE25'!G296+'DOE25'!G315</f>
        <v>282783.96000000002</v>
      </c>
    </row>
    <row r="28" spans="1:3" x14ac:dyDescent="0.2">
      <c r="A28" t="s">
        <v>779</v>
      </c>
      <c r="B28" s="240">
        <v>562522.84</v>
      </c>
      <c r="C28" s="240">
        <f>B28/B27*C27</f>
        <v>233484.65391511878</v>
      </c>
    </row>
    <row r="29" spans="1:3" x14ac:dyDescent="0.2">
      <c r="A29" t="s">
        <v>780</v>
      </c>
      <c r="B29" s="240">
        <v>63956.959999999999</v>
      </c>
      <c r="C29" s="240">
        <f>B29/B27*C27</f>
        <v>26546.421956952174</v>
      </c>
    </row>
    <row r="30" spans="1:3" x14ac:dyDescent="0.2">
      <c r="A30" t="s">
        <v>781</v>
      </c>
      <c r="B30" s="240">
        <f>B27-B28-B29</f>
        <v>54817.380000000201</v>
      </c>
      <c r="C30" s="240">
        <f>B30/B27*C27</f>
        <v>22752.884127929097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681297.18000000017</v>
      </c>
      <c r="C31" s="231">
        <f>SUM(C28:C30)</f>
        <v>282783.96000000002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768572.59000000008</v>
      </c>
      <c r="C36" s="235">
        <f>'DOE25'!G199+'DOE25'!G217+'DOE25'!G235+'DOE25'!G278+'DOE25'!G297+'DOE25'!G316</f>
        <v>158131.54999999999</v>
      </c>
    </row>
    <row r="37" spans="1:3" x14ac:dyDescent="0.2">
      <c r="A37" t="s">
        <v>779</v>
      </c>
      <c r="B37" s="240">
        <v>0</v>
      </c>
      <c r="C37" s="240">
        <f>B37/B36*C36</f>
        <v>0</v>
      </c>
    </row>
    <row r="38" spans="1:3" x14ac:dyDescent="0.2">
      <c r="A38" t="s">
        <v>780</v>
      </c>
      <c r="B38" s="240">
        <v>2579.3000000000002</v>
      </c>
      <c r="C38" s="240">
        <f>B38/B36*C36</f>
        <v>530.6833892098598</v>
      </c>
    </row>
    <row r="39" spans="1:3" x14ac:dyDescent="0.2">
      <c r="A39" t="s">
        <v>781</v>
      </c>
      <c r="B39" s="240">
        <f>B36-B37-B38</f>
        <v>765993.29</v>
      </c>
      <c r="C39" s="240">
        <f>B39/B36*C36</f>
        <v>157600.86661079011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768572.59000000008</v>
      </c>
      <c r="C40" s="231">
        <f>SUM(C37:C39)</f>
        <v>158131.54999999996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Concord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40063344.93</v>
      </c>
      <c r="D5" s="20">
        <f>SUM('DOE25'!L196:L199)+SUM('DOE25'!L214:L217)+SUM('DOE25'!L232:L235)-F5-G5</f>
        <v>39990756.579999998</v>
      </c>
      <c r="E5" s="243"/>
      <c r="F5" s="255">
        <f>SUM('DOE25'!J196:J199)+SUM('DOE25'!J214:J217)+SUM('DOE25'!J232:J235)</f>
        <v>49385.78</v>
      </c>
      <c r="G5" s="53">
        <f>SUM('DOE25'!K196:K199)+SUM('DOE25'!K214:K217)+SUM('DOE25'!K232:K235)</f>
        <v>23202.57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4934530.24</v>
      </c>
      <c r="D6" s="20">
        <f>'DOE25'!L201+'DOE25'!L219+'DOE25'!L237-F6-G6</f>
        <v>4915917.9000000004</v>
      </c>
      <c r="E6" s="243"/>
      <c r="F6" s="255">
        <f>'DOE25'!J201+'DOE25'!J219+'DOE25'!J237</f>
        <v>18339.840000000004</v>
      </c>
      <c r="G6" s="53">
        <f>'DOE25'!K201+'DOE25'!K219+'DOE25'!K237</f>
        <v>272.5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2112482.66</v>
      </c>
      <c r="D7" s="20">
        <f>'DOE25'!L202+'DOE25'!L220+'DOE25'!L238-F7-G7</f>
        <v>2062147.5300000003</v>
      </c>
      <c r="E7" s="243"/>
      <c r="F7" s="255">
        <f>'DOE25'!J202+'DOE25'!J220+'DOE25'!J238</f>
        <v>50335.13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761227.81</v>
      </c>
      <c r="D8" s="243"/>
      <c r="E8" s="20">
        <f>'DOE25'!L203+'DOE25'!L221+'DOE25'!L239-F8-G8-D9-D11</f>
        <v>750651.01</v>
      </c>
      <c r="F8" s="255">
        <f>'DOE25'!J203+'DOE25'!J221+'DOE25'!J239</f>
        <v>0</v>
      </c>
      <c r="G8" s="53">
        <f>'DOE25'!K203+'DOE25'!K221+'DOE25'!K239</f>
        <v>10576.8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17890.91</v>
      </c>
      <c r="D9" s="244">
        <v>17890.91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57750</v>
      </c>
      <c r="D10" s="243"/>
      <c r="E10" s="244">
        <v>57750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251362.34</v>
      </c>
      <c r="D11" s="244">
        <f>67921.34+183441</f>
        <v>251362.34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3380772.71</v>
      </c>
      <c r="D12" s="20">
        <f>'DOE25'!L204+'DOE25'!L222+'DOE25'!L240-F12-G12</f>
        <v>3357600.92</v>
      </c>
      <c r="E12" s="243"/>
      <c r="F12" s="255">
        <f>'DOE25'!J204+'DOE25'!J222+'DOE25'!J240</f>
        <v>7135.41</v>
      </c>
      <c r="G12" s="53">
        <f>'DOE25'!K204+'DOE25'!K222+'DOE25'!K240</f>
        <v>16036.38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602504.47000000009</v>
      </c>
      <c r="D13" s="243"/>
      <c r="E13" s="20">
        <f>'DOE25'!L205+'DOE25'!L223+'DOE25'!L241-F13-G13</f>
        <v>601004.47000000009</v>
      </c>
      <c r="F13" s="255">
        <f>'DOE25'!J205+'DOE25'!J223+'DOE25'!J241</f>
        <v>1050</v>
      </c>
      <c r="G13" s="53">
        <f>'DOE25'!K205+'DOE25'!K223+'DOE25'!K241</f>
        <v>450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5715946.6999999993</v>
      </c>
      <c r="D14" s="20">
        <f>'DOE25'!L206+'DOE25'!L224+'DOE25'!L242-F14-G14</f>
        <v>5664356.919999999</v>
      </c>
      <c r="E14" s="243"/>
      <c r="F14" s="255">
        <f>'DOE25'!J206+'DOE25'!J224+'DOE25'!J242</f>
        <v>50881.78</v>
      </c>
      <c r="G14" s="53">
        <f>'DOE25'!K206+'DOE25'!K224+'DOE25'!K242</f>
        <v>708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2523503.85</v>
      </c>
      <c r="D15" s="20">
        <f>'DOE25'!L207+'DOE25'!L225+'DOE25'!L243-F15-G15</f>
        <v>2520692.85</v>
      </c>
      <c r="E15" s="243"/>
      <c r="F15" s="255">
        <f>'DOE25'!J207+'DOE25'!J225+'DOE25'!J243</f>
        <v>0</v>
      </c>
      <c r="G15" s="53">
        <f>'DOE25'!K207+'DOE25'!K225+'DOE25'!K243</f>
        <v>2811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466610.61</v>
      </c>
      <c r="D16" s="243"/>
      <c r="E16" s="20">
        <f>'DOE25'!L208+'DOE25'!L226+'DOE25'!L244-F16-G16</f>
        <v>466385.61</v>
      </c>
      <c r="F16" s="255">
        <f>'DOE25'!J208+'DOE25'!J226+'DOE25'!J244</f>
        <v>0</v>
      </c>
      <c r="G16" s="53">
        <f>'DOE25'!K208+'DOE25'!K226+'DOE25'!K244</f>
        <v>225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417613.12</v>
      </c>
      <c r="D17" s="20">
        <f>'DOE25'!L250-F17-G17</f>
        <v>407585.89</v>
      </c>
      <c r="E17" s="243"/>
      <c r="F17" s="255">
        <f>'DOE25'!J250</f>
        <v>0</v>
      </c>
      <c r="G17" s="53">
        <f>'DOE25'!K250</f>
        <v>10027.23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213355.09</v>
      </c>
      <c r="D22" s="243"/>
      <c r="E22" s="243"/>
      <c r="F22" s="255">
        <f>'DOE25'!L254+'DOE25'!L335</f>
        <v>213355.09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7202044.7599999998</v>
      </c>
      <c r="D25" s="243"/>
      <c r="E25" s="243"/>
      <c r="F25" s="258"/>
      <c r="G25" s="256"/>
      <c r="H25" s="257">
        <f>'DOE25'!L259+'DOE25'!L260+'DOE25'!L340+'DOE25'!L341</f>
        <v>7202044.7599999998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1282429.3900000001</v>
      </c>
      <c r="D29" s="20">
        <f>'DOE25'!L357+'DOE25'!L358+'DOE25'!L359-'DOE25'!I366-F29-G29</f>
        <v>1263209.23</v>
      </c>
      <c r="E29" s="243"/>
      <c r="F29" s="255">
        <f>'DOE25'!J357+'DOE25'!J358+'DOE25'!J359</f>
        <v>18140.850000000002</v>
      </c>
      <c r="G29" s="53">
        <f>'DOE25'!K357+'DOE25'!K358+'DOE25'!K359</f>
        <v>1079.31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3819843.4400000004</v>
      </c>
      <c r="D31" s="20">
        <f>'DOE25'!L289+'DOE25'!L308+'DOE25'!L327+'DOE25'!L332+'DOE25'!L333+'DOE25'!L334-F31-G31</f>
        <v>3680619.45</v>
      </c>
      <c r="E31" s="243"/>
      <c r="F31" s="255">
        <f>'DOE25'!J289+'DOE25'!J308+'DOE25'!J327+'DOE25'!J332+'DOE25'!J333+'DOE25'!J334</f>
        <v>127332.98999999999</v>
      </c>
      <c r="G31" s="53">
        <f>'DOE25'!K289+'DOE25'!K308+'DOE25'!K327+'DOE25'!K332+'DOE25'!K333+'DOE25'!K334</f>
        <v>11891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64132140.520000003</v>
      </c>
      <c r="E33" s="246">
        <f>SUM(E5:E31)</f>
        <v>1875791.0899999999</v>
      </c>
      <c r="F33" s="246">
        <f>SUM(F5:F31)</f>
        <v>535956.87</v>
      </c>
      <c r="G33" s="246">
        <f>SUM(G5:G31)</f>
        <v>77279.789999999994</v>
      </c>
      <c r="H33" s="246">
        <f>SUM(H5:H31)</f>
        <v>7202044.7599999998</v>
      </c>
    </row>
    <row r="35" spans="2:8" ht="12" thickBot="1" x14ac:dyDescent="0.25">
      <c r="B35" s="253" t="s">
        <v>847</v>
      </c>
      <c r="D35" s="254">
        <f>E33</f>
        <v>1875791.0899999999</v>
      </c>
      <c r="E35" s="249"/>
    </row>
    <row r="36" spans="2:8" ht="12" thickTop="1" x14ac:dyDescent="0.2">
      <c r="B36" t="s">
        <v>815</v>
      </c>
      <c r="D36" s="20">
        <f>D33</f>
        <v>64132140.520000003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90" zoomScaleNormal="90" workbookViewId="0">
      <pane ySplit="2" topLeftCell="A57" activePane="bottomLeft" state="frozen"/>
      <selection pane="bottomLeft" activeCell="C66" sqref="C6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3109417.98</v>
      </c>
      <c r="D8" s="95">
        <f>'DOE25'!G9</f>
        <v>15788.14</v>
      </c>
      <c r="E8" s="95">
        <f>'DOE25'!H9</f>
        <v>-207947.99</v>
      </c>
      <c r="F8" s="95">
        <f>'DOE25'!I9</f>
        <v>191166.04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2189421.65</v>
      </c>
      <c r="G9" s="95">
        <f>'DOE25'!J10</f>
        <v>6343543.5099999998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85929929.659999996</v>
      </c>
      <c r="D11" s="95">
        <f>'DOE25'!G12</f>
        <v>4673130.78</v>
      </c>
      <c r="E11" s="95">
        <f>'DOE25'!H12</f>
        <v>17672749.280000001</v>
      </c>
      <c r="F11" s="95">
        <f>'DOE25'!I12</f>
        <v>63727621.909999996</v>
      </c>
      <c r="G11" s="95">
        <f>'DOE25'!J12</f>
        <v>-1171071.6599999999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548539.31999999995</v>
      </c>
      <c r="D13" s="95">
        <f>'DOE25'!G14</f>
        <v>170624.4</v>
      </c>
      <c r="E13" s="95">
        <f>'DOE25'!H14</f>
        <v>794951.07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33695.01</v>
      </c>
      <c r="D15" s="95">
        <f>'DOE25'!G16</f>
        <v>23821.38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95100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89716681.969999999</v>
      </c>
      <c r="D18" s="41">
        <f>SUM(D8:D17)</f>
        <v>4883364.7</v>
      </c>
      <c r="E18" s="41">
        <f>SUM(E8:E17)</f>
        <v>18259752.360000003</v>
      </c>
      <c r="F18" s="41">
        <f>SUM(F8:F17)</f>
        <v>66108209.599999994</v>
      </c>
      <c r="G18" s="41">
        <f>SUM(G8:G17)</f>
        <v>5172471.8499999996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85189134.790000007</v>
      </c>
      <c r="D21" s="95">
        <f>'DOE25'!G22</f>
        <v>4851462.87</v>
      </c>
      <c r="E21" s="95">
        <f>'DOE25'!H22</f>
        <v>18075144.84</v>
      </c>
      <c r="F21" s="95">
        <f>'DOE25'!I22</f>
        <v>62071197.530000001</v>
      </c>
      <c r="G21" s="95">
        <f>'DOE25'!J22</f>
        <v>645420.29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1695.08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73180.990000000005</v>
      </c>
      <c r="D27" s="95">
        <f>'DOE25'!G28</f>
        <v>4567.6099999999997</v>
      </c>
      <c r="E27" s="95">
        <f>'DOE25'!H28</f>
        <v>7946.67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1571136.77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22207.5</v>
      </c>
      <c r="D29" s="95">
        <f>'DOE25'!G30</f>
        <v>23412.74</v>
      </c>
      <c r="E29" s="95">
        <f>'DOE25'!H30</f>
        <v>6684.13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86857355.129999995</v>
      </c>
      <c r="D31" s="41">
        <f>SUM(D21:D30)</f>
        <v>4879443.2200000007</v>
      </c>
      <c r="E31" s="41">
        <f>SUM(E21:E30)</f>
        <v>18089775.640000001</v>
      </c>
      <c r="F31" s="41">
        <f>SUM(F21:F30)</f>
        <v>62071197.530000001</v>
      </c>
      <c r="G31" s="41">
        <f>SUM(G21:G30)</f>
        <v>645420.29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488733.28</v>
      </c>
      <c r="D44" s="95">
        <f>'DOE25'!G45</f>
        <v>19662.73</v>
      </c>
      <c r="E44" s="95">
        <f>'DOE25'!H45</f>
        <v>211979.41</v>
      </c>
      <c r="F44" s="95">
        <f>'DOE25'!I45</f>
        <v>1461255.6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33695.01</v>
      </c>
      <c r="D46" s="95">
        <f>'DOE25'!G47</f>
        <v>-15741.25</v>
      </c>
      <c r="E46" s="95">
        <f>'DOE25'!H47</f>
        <v>-42002.690000000599</v>
      </c>
      <c r="F46" s="95">
        <f>'DOE25'!I47</f>
        <v>2575756.4700000095</v>
      </c>
      <c r="G46" s="95">
        <f>'DOE25'!J47</f>
        <v>4526051.5600000005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1000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2336898.5499999998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2859326.84</v>
      </c>
      <c r="D49" s="41">
        <f>SUM(D34:D48)</f>
        <v>3921.4799999999996</v>
      </c>
      <c r="E49" s="41">
        <f>SUM(E34:E48)</f>
        <v>169976.71999999939</v>
      </c>
      <c r="F49" s="41">
        <f>SUM(F34:F48)</f>
        <v>4037012.0700000096</v>
      </c>
      <c r="G49" s="41">
        <f>SUM(G34:G48)</f>
        <v>4527051.5600000005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89716681.969999999</v>
      </c>
      <c r="D50" s="41">
        <f>D49+D31</f>
        <v>4883364.7000000011</v>
      </c>
      <c r="E50" s="41">
        <f>E49+E31</f>
        <v>18259752.359999999</v>
      </c>
      <c r="F50" s="41">
        <f>F49+F31</f>
        <v>66108209.600000009</v>
      </c>
      <c r="G50" s="41">
        <f>G49+G31</f>
        <v>5172471.8500000006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36357626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4010931.4799999995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120685.54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49.21</v>
      </c>
      <c r="D58" s="95">
        <f>'DOE25'!G95</f>
        <v>62.51</v>
      </c>
      <c r="E58" s="95">
        <f>'DOE25'!H95</f>
        <v>0</v>
      </c>
      <c r="F58" s="95">
        <f>'DOE25'!I95</f>
        <v>2226.73</v>
      </c>
      <c r="G58" s="95">
        <f>'DOE25'!J95</f>
        <v>1429.95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640207.59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508384.12</v>
      </c>
      <c r="D60" s="95">
        <f>SUM('DOE25'!G97:G109)</f>
        <v>5842.47</v>
      </c>
      <c r="E60" s="95">
        <f>SUM('DOE25'!H97:H109)</f>
        <v>120361.51000000001</v>
      </c>
      <c r="F60" s="95">
        <f>SUM('DOE25'!I97:I109)</f>
        <v>0</v>
      </c>
      <c r="G60" s="95">
        <f>SUM('DOE25'!J97:J109)</f>
        <v>1475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4640050.3499999996</v>
      </c>
      <c r="D61" s="130">
        <f>SUM(D56:D60)</f>
        <v>646112.56999999995</v>
      </c>
      <c r="E61" s="130">
        <f>SUM(E56:E60)</f>
        <v>120361.51000000001</v>
      </c>
      <c r="F61" s="130">
        <f>SUM(F56:F60)</f>
        <v>2226.73</v>
      </c>
      <c r="G61" s="130">
        <f>SUM(G56:G60)</f>
        <v>2904.95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40997676.350000001</v>
      </c>
      <c r="D62" s="22">
        <f>D55+D61</f>
        <v>646112.56999999995</v>
      </c>
      <c r="E62" s="22">
        <f>E55+E61</f>
        <v>120361.51000000001</v>
      </c>
      <c r="F62" s="22">
        <f>F55+F61</f>
        <v>2226.73</v>
      </c>
      <c r="G62" s="22">
        <f>G55+G61</f>
        <v>2904.95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13154017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8219565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21373582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1308561.8799999999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408995.26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893126.27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109497.2</v>
      </c>
      <c r="E76" s="95">
        <f>SUM('DOE25'!H130:H134)</f>
        <v>71751.12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2610683.41</v>
      </c>
      <c r="D77" s="130">
        <f>SUM(D71:D76)</f>
        <v>109497.2</v>
      </c>
      <c r="E77" s="130">
        <f>SUM(E71:E76)</f>
        <v>71751.12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23984265.41</v>
      </c>
      <c r="D80" s="130">
        <f>SUM(D78:D79)+D77+D69</f>
        <v>109497.2</v>
      </c>
      <c r="E80" s="130">
        <f>SUM(E78:E79)+E77+E69</f>
        <v>71751.12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959261.61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1391354.98</v>
      </c>
      <c r="D87" s="95">
        <f>SUM('DOE25'!G152:G160)</f>
        <v>887099.41999999993</v>
      </c>
      <c r="E87" s="95">
        <f>SUM('DOE25'!H152:H160)</f>
        <v>3770157.4699999997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2350616.59</v>
      </c>
      <c r="D90" s="131">
        <f>SUM(D84:D89)</f>
        <v>887099.41999999993</v>
      </c>
      <c r="E90" s="131">
        <f>SUM(E84:E89)</f>
        <v>3770157.4699999997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1094.05</v>
      </c>
      <c r="E95" s="95">
        <f>'DOE25'!H178</f>
        <v>0</v>
      </c>
      <c r="F95" s="95">
        <f>'DOE25'!I178</f>
        <v>0</v>
      </c>
      <c r="G95" s="95">
        <f>'DOE25'!J178</f>
        <v>1647081.7</v>
      </c>
    </row>
    <row r="96" spans="1:9" x14ac:dyDescent="0.2">
      <c r="A96" t="s">
        <v>758</v>
      </c>
      <c r="B96" s="32" t="s">
        <v>188</v>
      </c>
      <c r="C96" s="95">
        <f>SUM('DOE25'!F179:F180)</f>
        <v>112797.12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1724222.25</v>
      </c>
      <c r="D99" s="95">
        <f>SUM('DOE25'!G185:G186)</f>
        <v>0</v>
      </c>
      <c r="E99" s="95">
        <f>SUM('DOE25'!H185:H186)</f>
        <v>0</v>
      </c>
      <c r="F99" s="95">
        <f>SUM('DOE25'!I185:I186)</f>
        <v>148568.12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900000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2737019.37</v>
      </c>
      <c r="D102" s="86">
        <f>SUM(D92:D101)</f>
        <v>1094.05</v>
      </c>
      <c r="E102" s="86">
        <f>SUM(E92:E101)</f>
        <v>0</v>
      </c>
      <c r="F102" s="86">
        <f>SUM(F92:F101)</f>
        <v>148568.12</v>
      </c>
      <c r="G102" s="86">
        <f>SUM(G92:G101)</f>
        <v>1647081.7</v>
      </c>
    </row>
    <row r="103" spans="1:7" ht="12.75" thickTop="1" thickBot="1" x14ac:dyDescent="0.25">
      <c r="A103" s="33" t="s">
        <v>765</v>
      </c>
      <c r="C103" s="86">
        <f>C62+C80+C90+C102</f>
        <v>70069577.720000014</v>
      </c>
      <c r="D103" s="86">
        <f>D62+D80+D90+D102</f>
        <v>1643803.24</v>
      </c>
      <c r="E103" s="86">
        <f>E62+E80+E90+E102</f>
        <v>3962270.0999999996</v>
      </c>
      <c r="F103" s="86">
        <f>F62+F80+F90+F102</f>
        <v>150794.85</v>
      </c>
      <c r="G103" s="86">
        <f>G62+G80+G102</f>
        <v>1649986.65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27572088.729999997</v>
      </c>
      <c r="D108" s="24" t="s">
        <v>289</v>
      </c>
      <c r="E108" s="95">
        <f>('DOE25'!L275)+('DOE25'!L294)+('DOE25'!L313)</f>
        <v>142814.21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10769882.800000001</v>
      </c>
      <c r="D109" s="24" t="s">
        <v>289</v>
      </c>
      <c r="E109" s="95">
        <f>('DOE25'!L276)+('DOE25'!L295)+('DOE25'!L314)</f>
        <v>1984766.1300000001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898679.60000000009</v>
      </c>
      <c r="D110" s="24" t="s">
        <v>289</v>
      </c>
      <c r="E110" s="95">
        <f>('DOE25'!L277)+('DOE25'!L296)+('DOE25'!L315)</f>
        <v>259365.39999999997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822693.79999999993</v>
      </c>
      <c r="D111" s="24" t="s">
        <v>289</v>
      </c>
      <c r="E111" s="95">
        <f>+('DOE25'!L278)+('DOE25'!L297)+('DOE25'!L316)</f>
        <v>303794.87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417613.12</v>
      </c>
      <c r="D113" s="24" t="s">
        <v>289</v>
      </c>
      <c r="E113" s="95">
        <f>+ SUM('DOE25'!L332:L334)</f>
        <v>146869.31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40480958.049999997</v>
      </c>
      <c r="D114" s="86">
        <f>SUM(D108:D113)</f>
        <v>0</v>
      </c>
      <c r="E114" s="86">
        <f>SUM(E108:E113)</f>
        <v>2837609.9200000004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4934530.24</v>
      </c>
      <c r="D117" s="24" t="s">
        <v>289</v>
      </c>
      <c r="E117" s="95">
        <f>+('DOE25'!L280)+('DOE25'!L299)+('DOE25'!L318)</f>
        <v>272133.21999999997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2112482.66</v>
      </c>
      <c r="D118" s="24" t="s">
        <v>289</v>
      </c>
      <c r="E118" s="95">
        <f>+('DOE25'!L281)+('DOE25'!L300)+('DOE25'!L319)</f>
        <v>645464.11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1030481.06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3380772.71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602504.47000000009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5715946.6999999993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2523503.85</v>
      </c>
      <c r="D123" s="24" t="s">
        <v>289</v>
      </c>
      <c r="E123" s="95">
        <f>+('DOE25'!L286)+('DOE25'!L305)+('DOE25'!L324)</f>
        <v>64636.189999999995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466610.61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1681703.99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20766832.300000004</v>
      </c>
      <c r="D127" s="86">
        <f>SUM(D117:D126)</f>
        <v>1681703.99</v>
      </c>
      <c r="E127" s="86">
        <f>SUM(E117:E126)</f>
        <v>982233.5199999999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213054.11</v>
      </c>
      <c r="D129" s="24" t="s">
        <v>289</v>
      </c>
      <c r="E129" s="129">
        <f>'DOE25'!L335</f>
        <v>300.98</v>
      </c>
      <c r="F129" s="129">
        <f>SUM('DOE25'!L373:'DOE25'!L379)</f>
        <v>5545583.8800000008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3847854.99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3354189.77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104184.81999999999</v>
      </c>
      <c r="F133" s="95">
        <f>'DOE25'!K380</f>
        <v>0</v>
      </c>
      <c r="G133" s="95">
        <f>'DOE25'!K433</f>
        <v>1872790.37</v>
      </c>
    </row>
    <row r="134" spans="1:7" x14ac:dyDescent="0.2">
      <c r="A134" t="s">
        <v>233</v>
      </c>
      <c r="B134" s="32" t="s">
        <v>234</v>
      </c>
      <c r="C134" s="95">
        <f>'DOE25'!L262</f>
        <v>1094.05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1649986.65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-2904.9499999999534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9063274.620000001</v>
      </c>
      <c r="D143" s="141">
        <f>SUM(D129:D142)</f>
        <v>0</v>
      </c>
      <c r="E143" s="141">
        <f>SUM(E129:E142)</f>
        <v>104485.79999999999</v>
      </c>
      <c r="F143" s="141">
        <f>SUM(F129:F142)</f>
        <v>5545583.8800000008</v>
      </c>
      <c r="G143" s="141">
        <f>SUM(G129:G142)</f>
        <v>1872790.37</v>
      </c>
    </row>
    <row r="144" spans="1:7" ht="12.75" thickTop="1" thickBot="1" x14ac:dyDescent="0.25">
      <c r="A144" s="33" t="s">
        <v>244</v>
      </c>
      <c r="C144" s="86">
        <f>(C114+C127+C143)</f>
        <v>70311064.969999999</v>
      </c>
      <c r="D144" s="86">
        <f>(D114+D127+D143)</f>
        <v>1681703.99</v>
      </c>
      <c r="E144" s="86">
        <f>(E114+E127+E143)</f>
        <v>3924329.24</v>
      </c>
      <c r="F144" s="86">
        <f>(F114+F127+F143)</f>
        <v>5545583.8800000008</v>
      </c>
      <c r="G144" s="86">
        <f>(G114+G127+G143)</f>
        <v>1872790.37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11/91 - 12/10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04/40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33198041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See attached page for details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64151494.990000002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64151494.990000002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3847854.99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3847854.99</v>
      </c>
    </row>
    <row r="158" spans="1:9" x14ac:dyDescent="0.2">
      <c r="A158" s="22" t="s">
        <v>35</v>
      </c>
      <c r="B158" s="137">
        <f>'DOE25'!F497</f>
        <v>60303640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60303640</v>
      </c>
    </row>
    <row r="159" spans="1:9" x14ac:dyDescent="0.2">
      <c r="A159" s="22" t="s">
        <v>36</v>
      </c>
      <c r="B159" s="137">
        <f>'DOE25'!F498</f>
        <v>28614061.23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28614061.23</v>
      </c>
    </row>
    <row r="160" spans="1:9" x14ac:dyDescent="0.2">
      <c r="A160" s="22" t="s">
        <v>37</v>
      </c>
      <c r="B160" s="137">
        <f>'DOE25'!F499</f>
        <v>88917701.230000004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88917701.230000004</v>
      </c>
    </row>
    <row r="161" spans="1:7" x14ac:dyDescent="0.2">
      <c r="A161" s="22" t="s">
        <v>38</v>
      </c>
      <c r="B161" s="137">
        <f>'DOE25'!F500</f>
        <v>3826700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3826700</v>
      </c>
    </row>
    <row r="162" spans="1:7" x14ac:dyDescent="0.2">
      <c r="A162" s="22" t="s">
        <v>39</v>
      </c>
      <c r="B162" s="137">
        <f>'DOE25'!F501</f>
        <v>2246404.0300000003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2246404.0300000003</v>
      </c>
    </row>
    <row r="163" spans="1:7" x14ac:dyDescent="0.2">
      <c r="A163" s="22" t="s">
        <v>246</v>
      </c>
      <c r="B163" s="137">
        <f>'DOE25'!F502</f>
        <v>6073104.0300000003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6073104.0300000003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Concord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14024</v>
      </c>
    </row>
    <row r="5" spans="1:4" x14ac:dyDescent="0.2">
      <c r="B5" t="s">
        <v>704</v>
      </c>
      <c r="C5" s="179">
        <f>IF('DOE25'!G664+'DOE25'!G669=0,0,ROUND('DOE25'!G671,0))</f>
        <v>12440</v>
      </c>
    </row>
    <row r="6" spans="1:4" x14ac:dyDescent="0.2">
      <c r="B6" t="s">
        <v>62</v>
      </c>
      <c r="C6" s="179">
        <f>IF('DOE25'!H664+'DOE25'!H669=0,0,ROUND('DOE25'!H671,0))</f>
        <v>12027</v>
      </c>
    </row>
    <row r="7" spans="1:4" x14ac:dyDescent="0.2">
      <c r="B7" t="s">
        <v>705</v>
      </c>
      <c r="C7" s="179">
        <f>IF('DOE25'!I664+'DOE25'!I669=0,0,ROUND('DOE25'!I671,0))</f>
        <v>12897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27714903</v>
      </c>
      <c r="D10" s="182">
        <f>ROUND((C10/$C$28)*100,1)</f>
        <v>39.9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12754649</v>
      </c>
      <c r="D11" s="182">
        <f>ROUND((C11/$C$28)*100,1)</f>
        <v>18.399999999999999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1158045</v>
      </c>
      <c r="D12" s="182">
        <f>ROUND((C12/$C$28)*100,1)</f>
        <v>1.7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1126489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5206663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2757947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1497092</v>
      </c>
      <c r="D17" s="182">
        <f t="shared" si="0"/>
        <v>2.2000000000000002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3380773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602504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5715947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2588140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564482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ROUND('DOE25'!L260+'DOE25'!L341,0)</f>
        <v>3354190</v>
      </c>
      <c r="D25" s="182">
        <f t="shared" si="0"/>
        <v>4.8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1035653.9400000001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69457477.939999998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5758939</v>
      </c>
    </row>
    <row r="30" spans="1:4" x14ac:dyDescent="0.2">
      <c r="B30" s="187" t="s">
        <v>729</v>
      </c>
      <c r="C30" s="180">
        <f>SUM(C28:C29)</f>
        <v>75216416.939999998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3847855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36357626</v>
      </c>
      <c r="D35" s="182">
        <f t="shared" ref="D35:D40" si="1">ROUND((C35/$C$41)*100,1)</f>
        <v>49.7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4765606.0499999896</v>
      </c>
      <c r="D36" s="182">
        <f t="shared" si="1"/>
        <v>6.5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21373582</v>
      </c>
      <c r="D37" s="182">
        <f t="shared" si="1"/>
        <v>29.2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2791932</v>
      </c>
      <c r="D38" s="182">
        <f t="shared" si="1"/>
        <v>3.8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7007873</v>
      </c>
      <c r="D39" s="182">
        <f t="shared" si="1"/>
        <v>9.6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900000</v>
      </c>
      <c r="D40" s="182">
        <f t="shared" si="1"/>
        <v>1.2</v>
      </c>
    </row>
    <row r="41" spans="1:4" x14ac:dyDescent="0.2">
      <c r="B41" s="187" t="s">
        <v>736</v>
      </c>
      <c r="C41" s="180">
        <f>SUM(C35:C40)</f>
        <v>73196619.049999982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Concord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>
        <v>2</v>
      </c>
      <c r="B4" s="219">
        <v>1</v>
      </c>
      <c r="C4" s="282" t="s">
        <v>914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4</v>
      </c>
      <c r="B5" s="219">
        <v>2</v>
      </c>
      <c r="C5" s="282" t="s">
        <v>913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AP39:AZ39"/>
    <mergeCell ref="IP40:IV40"/>
    <mergeCell ref="C45:M45"/>
    <mergeCell ref="HP40:HZ40"/>
    <mergeCell ref="IC40:IM40"/>
    <mergeCell ref="FC40:FM40"/>
    <mergeCell ref="FP40:FZ40"/>
    <mergeCell ref="CP40:CZ40"/>
    <mergeCell ref="DC40:DM40"/>
    <mergeCell ref="GP40:GZ40"/>
    <mergeCell ref="HC40:HM40"/>
    <mergeCell ref="EC40:EM40"/>
    <mergeCell ref="C44:M44"/>
    <mergeCell ref="DP40:DZ40"/>
    <mergeCell ref="C43:M43"/>
    <mergeCell ref="BP40:BZ40"/>
    <mergeCell ref="AP40:AZ40"/>
    <mergeCell ref="GC40:GM40"/>
    <mergeCell ref="BC40:BM40"/>
    <mergeCell ref="EP40:EZ40"/>
    <mergeCell ref="CC40:CM40"/>
    <mergeCell ref="IC39:IM39"/>
    <mergeCell ref="HC38:HM38"/>
    <mergeCell ref="CP39:CZ39"/>
    <mergeCell ref="HC39:HM39"/>
    <mergeCell ref="DC39:DM39"/>
    <mergeCell ref="DP39:DZ39"/>
    <mergeCell ref="EC39:EM39"/>
    <mergeCell ref="GC39:GM39"/>
    <mergeCell ref="CP38:CZ38"/>
    <mergeCell ref="IP39:IV39"/>
    <mergeCell ref="GP39:GZ39"/>
    <mergeCell ref="FC39:FM39"/>
    <mergeCell ref="BP39:BZ39"/>
    <mergeCell ref="CC39:CM39"/>
    <mergeCell ref="EP39:EZ39"/>
    <mergeCell ref="HP39:HZ39"/>
    <mergeCell ref="FP39:FZ39"/>
    <mergeCell ref="BC38:BM38"/>
    <mergeCell ref="DP38:DZ38"/>
    <mergeCell ref="EC38:EM38"/>
    <mergeCell ref="DC38:DM38"/>
    <mergeCell ref="BP38:BZ38"/>
    <mergeCell ref="CC38:CM38"/>
    <mergeCell ref="EP38:EZ38"/>
    <mergeCell ref="IP38:IV38"/>
    <mergeCell ref="IC38:IM38"/>
    <mergeCell ref="FC38:FM38"/>
    <mergeCell ref="FP38:FZ38"/>
    <mergeCell ref="GC38:GM38"/>
    <mergeCell ref="HP38:HZ38"/>
    <mergeCell ref="HP32:HZ32"/>
    <mergeCell ref="GP32:GZ32"/>
    <mergeCell ref="GP31:GZ31"/>
    <mergeCell ref="HC31:HM31"/>
    <mergeCell ref="HC32:HM32"/>
    <mergeCell ref="GP38:GZ38"/>
    <mergeCell ref="DP32:DZ32"/>
    <mergeCell ref="FC32:FM32"/>
    <mergeCell ref="EC32:EM32"/>
    <mergeCell ref="FC31:FM31"/>
    <mergeCell ref="FP31:FZ31"/>
    <mergeCell ref="FP32:FZ32"/>
    <mergeCell ref="GC32:GM32"/>
    <mergeCell ref="IP31:IV31"/>
    <mergeCell ref="CP32:CZ32"/>
    <mergeCell ref="CC32:CM32"/>
    <mergeCell ref="DC31:DM31"/>
    <mergeCell ref="DP31:DZ31"/>
    <mergeCell ref="EC31:EM31"/>
    <mergeCell ref="DC32:DM32"/>
    <mergeCell ref="CP31:CZ31"/>
    <mergeCell ref="EP32:EZ32"/>
    <mergeCell ref="IC32:IM32"/>
    <mergeCell ref="IP32:IV32"/>
    <mergeCell ref="HP30:HZ30"/>
    <mergeCell ref="EC30:EM30"/>
    <mergeCell ref="EP30:EZ30"/>
    <mergeCell ref="EP31:EZ31"/>
    <mergeCell ref="GC30:GM30"/>
    <mergeCell ref="GC31:GM31"/>
    <mergeCell ref="CC31:CM31"/>
    <mergeCell ref="BP32:BZ32"/>
    <mergeCell ref="IC31:IM31"/>
    <mergeCell ref="FC30:FM30"/>
    <mergeCell ref="FP30:FZ30"/>
    <mergeCell ref="HP29:HZ29"/>
    <mergeCell ref="AP38:AZ38"/>
    <mergeCell ref="P39:Z39"/>
    <mergeCell ref="AC39:AM39"/>
    <mergeCell ref="IP30:IV30"/>
    <mergeCell ref="GP30:GZ30"/>
    <mergeCell ref="CP30:CZ30"/>
    <mergeCell ref="DC30:DM30"/>
    <mergeCell ref="DP30:DZ30"/>
    <mergeCell ref="BC39:BM39"/>
    <mergeCell ref="CP29:CZ29"/>
    <mergeCell ref="DP29:DZ29"/>
    <mergeCell ref="IC29:IM29"/>
    <mergeCell ref="HC29:HM29"/>
    <mergeCell ref="IP29:IV29"/>
    <mergeCell ref="IC30:IM30"/>
    <mergeCell ref="HC30:HM30"/>
    <mergeCell ref="FP29:FZ29"/>
    <mergeCell ref="GC29:GM29"/>
    <mergeCell ref="GP29:GZ29"/>
    <mergeCell ref="HP31:HZ31"/>
    <mergeCell ref="EC29:EM29"/>
    <mergeCell ref="EP29:EZ29"/>
    <mergeCell ref="FC29:FM29"/>
    <mergeCell ref="A1:I1"/>
    <mergeCell ref="C3:M3"/>
    <mergeCell ref="C4:M4"/>
    <mergeCell ref="F2:I2"/>
    <mergeCell ref="A2:E2"/>
    <mergeCell ref="C36:M36"/>
    <mergeCell ref="C5:M5"/>
    <mergeCell ref="C6:M6"/>
    <mergeCell ref="C7:M7"/>
    <mergeCell ref="C18:M18"/>
    <mergeCell ref="C8:M8"/>
    <mergeCell ref="C13:M13"/>
    <mergeCell ref="C9:M9"/>
    <mergeCell ref="C10:M10"/>
    <mergeCell ref="C11:M11"/>
    <mergeCell ref="C33:M33"/>
    <mergeCell ref="C32:M32"/>
    <mergeCell ref="C34:M34"/>
    <mergeCell ref="C35:M35"/>
    <mergeCell ref="C14:M14"/>
    <mergeCell ref="C15:M15"/>
    <mergeCell ref="C16:M16"/>
    <mergeCell ref="C17:M17"/>
    <mergeCell ref="P29:Z29"/>
    <mergeCell ref="C21:M21"/>
    <mergeCell ref="C23:M23"/>
    <mergeCell ref="C24:M24"/>
    <mergeCell ref="C12:M12"/>
    <mergeCell ref="C20:M20"/>
    <mergeCell ref="P30:Z30"/>
    <mergeCell ref="AC30:AM30"/>
    <mergeCell ref="BP29:BZ29"/>
    <mergeCell ref="BC29:BM29"/>
    <mergeCell ref="C30:M30"/>
    <mergeCell ref="C22:M22"/>
    <mergeCell ref="C19:M19"/>
    <mergeCell ref="AC29:AM29"/>
    <mergeCell ref="C25:M25"/>
    <mergeCell ref="C26:M26"/>
    <mergeCell ref="C28:M28"/>
    <mergeCell ref="C27:M27"/>
    <mergeCell ref="AP32:AZ32"/>
    <mergeCell ref="DC29:DM29"/>
    <mergeCell ref="AP29:AZ29"/>
    <mergeCell ref="CC29:CM29"/>
    <mergeCell ref="BC32:BM32"/>
    <mergeCell ref="AP31:AZ31"/>
    <mergeCell ref="AP30:AZ30"/>
    <mergeCell ref="BC31:BM31"/>
    <mergeCell ref="CC30:CM30"/>
    <mergeCell ref="BC30:BM30"/>
    <mergeCell ref="BP30:BZ30"/>
    <mergeCell ref="BP31:BZ31"/>
    <mergeCell ref="P31:Z31"/>
    <mergeCell ref="AC31:AM31"/>
    <mergeCell ref="P32:Z32"/>
    <mergeCell ref="AC32:AM32"/>
    <mergeCell ref="C42:M42"/>
    <mergeCell ref="P40:Z40"/>
    <mergeCell ref="AC40:AM40"/>
    <mergeCell ref="C41:M41"/>
    <mergeCell ref="C31:M31"/>
    <mergeCell ref="C29:M29"/>
    <mergeCell ref="P38:Z38"/>
    <mergeCell ref="AC38:AM38"/>
    <mergeCell ref="C37:M37"/>
    <mergeCell ref="C38:M38"/>
    <mergeCell ref="C39:M39"/>
    <mergeCell ref="C40:M40"/>
    <mergeCell ref="C47:M47"/>
    <mergeCell ref="C48:M48"/>
    <mergeCell ref="C46:M46"/>
    <mergeCell ref="C82:M82"/>
    <mergeCell ref="C52:M52"/>
    <mergeCell ref="C50:M50"/>
    <mergeCell ref="C63:M63"/>
    <mergeCell ref="C64:M64"/>
    <mergeCell ref="C61:M61"/>
    <mergeCell ref="C49:M49"/>
    <mergeCell ref="C51:M51"/>
    <mergeCell ref="C74:M74"/>
    <mergeCell ref="C65:M65"/>
    <mergeCell ref="C56:M56"/>
    <mergeCell ref="C66:M66"/>
    <mergeCell ref="C73:M73"/>
    <mergeCell ref="C62:M62"/>
    <mergeCell ref="C78:M78"/>
    <mergeCell ref="C75:M75"/>
    <mergeCell ref="C67:M67"/>
    <mergeCell ref="C68:M68"/>
    <mergeCell ref="C69:M69"/>
    <mergeCell ref="C53:M53"/>
    <mergeCell ref="C54:M54"/>
    <mergeCell ref="C55:M55"/>
    <mergeCell ref="C60:M60"/>
    <mergeCell ref="C58:M58"/>
    <mergeCell ref="C57:M57"/>
    <mergeCell ref="C59:M59"/>
    <mergeCell ref="C70:M70"/>
    <mergeCell ref="A72:E72"/>
    <mergeCell ref="C89:M89"/>
    <mergeCell ref="C90:M90"/>
    <mergeCell ref="C76:M76"/>
    <mergeCell ref="C88:M88"/>
    <mergeCell ref="C86:M86"/>
    <mergeCell ref="C87:M87"/>
    <mergeCell ref="C83:M83"/>
    <mergeCell ref="C84:M84"/>
    <mergeCell ref="C85:M85"/>
    <mergeCell ref="C79:M79"/>
    <mergeCell ref="C77:M77"/>
    <mergeCell ref="C80:M80"/>
    <mergeCell ref="C81:M8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2013-09-17T16:16:02Z</cp:lastPrinted>
  <dcterms:created xsi:type="dcterms:W3CDTF">1997-12-04T19:04:30Z</dcterms:created>
  <dcterms:modified xsi:type="dcterms:W3CDTF">2013-12-05T18:37:59Z</dcterms:modified>
</cp:coreProperties>
</file>