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'DOE25'!$A$1:$L$671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1" i="12" l="1"/>
  <c r="C20" i="12"/>
  <c r="C19" i="12"/>
  <c r="B28" i="12"/>
  <c r="B21" i="12"/>
  <c r="B20" i="12"/>
  <c r="B19" i="12"/>
  <c r="F127" i="1"/>
  <c r="F126" i="1"/>
  <c r="J592" i="1"/>
  <c r="J590" i="1"/>
  <c r="D11" i="13"/>
  <c r="H233" i="1" l="1"/>
  <c r="H197" i="1"/>
  <c r="H215" i="1"/>
  <c r="H234" i="1"/>
  <c r="H664" i="1" l="1"/>
  <c r="G664" i="1"/>
  <c r="F664" i="1"/>
  <c r="F359" i="1" l="1"/>
  <c r="F358" i="1"/>
  <c r="F357" i="1"/>
  <c r="F244" i="1"/>
  <c r="F226" i="1"/>
  <c r="F208" i="1"/>
  <c r="G178" i="1"/>
  <c r="F159" i="1" l="1"/>
  <c r="F14" i="1"/>
  <c r="G464" i="1" l="1"/>
  <c r="G40" i="1"/>
  <c r="G22" i="1"/>
  <c r="H30" i="1" l="1"/>
  <c r="I174" i="1"/>
  <c r="I9" i="1"/>
  <c r="I612" i="1"/>
  <c r="I611" i="1"/>
  <c r="I610" i="1"/>
  <c r="H612" i="1"/>
  <c r="H611" i="1"/>
  <c r="H610" i="1"/>
  <c r="G611" i="1"/>
  <c r="G612" i="1"/>
  <c r="G610" i="1"/>
  <c r="F612" i="1"/>
  <c r="F611" i="1"/>
  <c r="F610" i="1"/>
  <c r="I563" i="1"/>
  <c r="I562" i="1"/>
  <c r="I561" i="1"/>
  <c r="H563" i="1"/>
  <c r="H562" i="1"/>
  <c r="H561" i="1"/>
  <c r="G562" i="1"/>
  <c r="G563" i="1"/>
  <c r="G561" i="1"/>
  <c r="F563" i="1"/>
  <c r="F562" i="1"/>
  <c r="F561" i="1"/>
  <c r="K527" i="1"/>
  <c r="K526" i="1"/>
  <c r="K525" i="1"/>
  <c r="K532" i="1"/>
  <c r="K531" i="1"/>
  <c r="K530" i="1"/>
  <c r="H532" i="1"/>
  <c r="H531" i="1"/>
  <c r="H530" i="1"/>
  <c r="H537" i="1"/>
  <c r="H536" i="1"/>
  <c r="H535" i="1"/>
  <c r="G532" i="1"/>
  <c r="G531" i="1"/>
  <c r="G530" i="1"/>
  <c r="G526" i="1" l="1"/>
  <c r="G527" i="1"/>
  <c r="G525" i="1"/>
  <c r="F532" i="1"/>
  <c r="F531" i="1"/>
  <c r="F530" i="1"/>
  <c r="I522" i="1"/>
  <c r="H522" i="1"/>
  <c r="I521" i="1"/>
  <c r="I520" i="1"/>
  <c r="H521" i="1"/>
  <c r="H527" i="1"/>
  <c r="H526" i="1"/>
  <c r="H525" i="1"/>
  <c r="H520" i="1"/>
  <c r="H542" i="1"/>
  <c r="H541" i="1"/>
  <c r="H540" i="1"/>
  <c r="F521" i="1"/>
  <c r="F520" i="1"/>
  <c r="F522" i="1"/>
  <c r="J527" i="1"/>
  <c r="J525" i="1"/>
  <c r="J526" i="1"/>
  <c r="I527" i="1"/>
  <c r="I526" i="1"/>
  <c r="I525" i="1"/>
  <c r="F527" i="1"/>
  <c r="F526" i="1"/>
  <c r="F525" i="1"/>
  <c r="G522" i="1"/>
  <c r="G521" i="1"/>
  <c r="G520" i="1"/>
  <c r="J520" i="1"/>
  <c r="J603" i="1" l="1"/>
  <c r="I603" i="1"/>
  <c r="H603" i="1"/>
  <c r="H243" i="1"/>
  <c r="H225" i="1"/>
  <c r="H207" i="1"/>
  <c r="J591" i="1"/>
  <c r="H591" i="1"/>
  <c r="H590" i="1"/>
  <c r="I591" i="1"/>
  <c r="I590" i="1"/>
  <c r="J594" i="1"/>
  <c r="J593" i="1"/>
  <c r="I593" i="1"/>
  <c r="I594" i="1"/>
  <c r="H594" i="1"/>
  <c r="H583" i="1"/>
  <c r="F581" i="1"/>
  <c r="H581" i="1"/>
  <c r="G581" i="1"/>
  <c r="H582" i="1"/>
  <c r="G582" i="1"/>
  <c r="H578" i="1"/>
  <c r="J178" i="1"/>
  <c r="F440" i="1"/>
  <c r="F439" i="1"/>
  <c r="F447" i="1"/>
  <c r="H388" i="1" l="1"/>
  <c r="H396" i="1"/>
  <c r="G458" i="1"/>
  <c r="G439" i="1"/>
  <c r="I12" i="1"/>
  <c r="I471" i="1" l="1"/>
  <c r="H379" i="1"/>
  <c r="H377" i="1"/>
  <c r="H375" i="1"/>
  <c r="H374" i="1"/>
  <c r="G35" i="1"/>
  <c r="H232" i="1"/>
  <c r="H214" i="1"/>
  <c r="H196" i="1"/>
  <c r="G232" i="1"/>
  <c r="G196" i="1"/>
  <c r="G221" i="1"/>
  <c r="G215" i="1"/>
  <c r="G214" i="1"/>
  <c r="G203" i="1"/>
  <c r="G202" i="1"/>
  <c r="G201" i="1"/>
  <c r="G197" i="1"/>
  <c r="G235" i="1"/>
  <c r="G234" i="1"/>
  <c r="G233" i="1"/>
  <c r="G242" i="1"/>
  <c r="G240" i="1"/>
  <c r="G239" i="1"/>
  <c r="G238" i="1"/>
  <c r="G237" i="1"/>
  <c r="G222" i="1"/>
  <c r="G220" i="1"/>
  <c r="G219" i="1"/>
  <c r="G216" i="1"/>
  <c r="G204" i="1"/>
  <c r="G224" i="1" l="1"/>
  <c r="G217" i="1"/>
  <c r="G206" i="1"/>
  <c r="F234" i="1"/>
  <c r="F232" i="1"/>
  <c r="F221" i="1"/>
  <c r="F214" i="1"/>
  <c r="F242" i="1"/>
  <c r="F240" i="1"/>
  <c r="F239" i="1"/>
  <c r="F238" i="1"/>
  <c r="F237" i="1"/>
  <c r="F235" i="1"/>
  <c r="F233" i="1"/>
  <c r="F224" i="1"/>
  <c r="F222" i="1"/>
  <c r="F220" i="1"/>
  <c r="F219" i="1"/>
  <c r="F215" i="1"/>
  <c r="F206" i="1"/>
  <c r="F203" i="1"/>
  <c r="F202" i="1"/>
  <c r="F201" i="1"/>
  <c r="F204" i="1"/>
  <c r="F196" i="1"/>
  <c r="F197" i="1"/>
  <c r="G199" i="1" l="1"/>
  <c r="K239" i="1" l="1"/>
  <c r="K232" i="1"/>
  <c r="J237" i="1"/>
  <c r="J233" i="1"/>
  <c r="I242" i="1"/>
  <c r="I239" i="1"/>
  <c r="I238" i="1"/>
  <c r="I237" i="1"/>
  <c r="I233" i="1"/>
  <c r="I232" i="1"/>
  <c r="H242" i="1"/>
  <c r="H239" i="1"/>
  <c r="H237" i="1"/>
  <c r="K220" i="1" l="1"/>
  <c r="K215" i="1"/>
  <c r="J219" i="1"/>
  <c r="J215" i="1"/>
  <c r="I224" i="1"/>
  <c r="I221" i="1"/>
  <c r="I220" i="1"/>
  <c r="I219" i="1"/>
  <c r="I215" i="1"/>
  <c r="I214" i="1"/>
  <c r="H224" i="1"/>
  <c r="H221" i="1"/>
  <c r="H220" i="1"/>
  <c r="H219" i="1"/>
  <c r="H201" i="1"/>
  <c r="K203" i="1"/>
  <c r="K197" i="1"/>
  <c r="J201" i="1"/>
  <c r="J197" i="1"/>
  <c r="I206" i="1"/>
  <c r="I203" i="1"/>
  <c r="I202" i="1"/>
  <c r="I201" i="1"/>
  <c r="I197" i="1"/>
  <c r="I196" i="1"/>
  <c r="H206" i="1"/>
  <c r="H203" i="1"/>
  <c r="H202" i="1"/>
  <c r="F47" i="1" l="1"/>
  <c r="F48" i="1"/>
  <c r="F30" i="1"/>
  <c r="I204" i="1" l="1"/>
  <c r="K204" i="1"/>
  <c r="H204" i="1"/>
  <c r="J202" i="1"/>
  <c r="I199" i="1"/>
  <c r="H199" i="1"/>
  <c r="F199" i="1"/>
  <c r="K196" i="1"/>
  <c r="J196" i="1"/>
  <c r="F216" i="1"/>
  <c r="K222" i="1"/>
  <c r="J222" i="1"/>
  <c r="I222" i="1"/>
  <c r="H222" i="1"/>
  <c r="K217" i="1"/>
  <c r="J217" i="1"/>
  <c r="I217" i="1"/>
  <c r="H217" i="1"/>
  <c r="F217" i="1"/>
  <c r="I216" i="1"/>
  <c r="H216" i="1"/>
  <c r="K214" i="1"/>
  <c r="J214" i="1"/>
  <c r="I234" i="1"/>
  <c r="H235" i="1"/>
  <c r="H244" i="1"/>
  <c r="K240" i="1"/>
  <c r="I240" i="1"/>
  <c r="H240" i="1"/>
  <c r="J238" i="1"/>
  <c r="H238" i="1"/>
  <c r="K237" i="1"/>
  <c r="K235" i="1"/>
  <c r="J235" i="1"/>
  <c r="I235" i="1"/>
  <c r="J234" i="1"/>
  <c r="J232" i="1"/>
  <c r="K260" i="1"/>
  <c r="K259" i="1"/>
  <c r="F464" i="1"/>
  <c r="F98" i="1" l="1"/>
  <c r="F97" i="1"/>
  <c r="F69" i="1"/>
  <c r="F68" i="1"/>
  <c r="F62" i="1"/>
  <c r="F56" i="1"/>
  <c r="F22" i="1"/>
  <c r="F36" i="1"/>
  <c r="F24" i="1"/>
  <c r="F17" i="1"/>
  <c r="F44" i="1"/>
  <c r="F13" i="1"/>
  <c r="F12" i="1"/>
  <c r="F10" i="1"/>
  <c r="F9" i="1"/>
  <c r="I359" i="1" l="1"/>
  <c r="I358" i="1"/>
  <c r="I357" i="1"/>
  <c r="G157" i="1" l="1"/>
  <c r="G13" i="1"/>
  <c r="G14" i="1"/>
  <c r="G9" i="1" l="1"/>
  <c r="K262" i="1"/>
  <c r="G96" i="1" l="1"/>
  <c r="G98" i="1"/>
  <c r="H367" i="1" l="1"/>
  <c r="H366" i="1"/>
  <c r="G366" i="1"/>
  <c r="G367" i="1" s="1"/>
  <c r="F366" i="1"/>
  <c r="F367" i="1" s="1"/>
  <c r="G359" i="1" l="1"/>
  <c r="G358" i="1"/>
  <c r="G357" i="1"/>
  <c r="K359" i="1"/>
  <c r="K358" i="1"/>
  <c r="K357" i="1"/>
  <c r="J358" i="1"/>
  <c r="H359" i="1"/>
  <c r="H358" i="1"/>
  <c r="H357" i="1"/>
  <c r="G295" i="1" l="1"/>
  <c r="G314" i="1" s="1"/>
  <c r="G276" i="1"/>
  <c r="F276" i="1"/>
  <c r="F314" i="1" s="1"/>
  <c r="K343" i="1"/>
  <c r="H318" i="1"/>
  <c r="H315" i="1"/>
  <c r="I315" i="1"/>
  <c r="J315" i="1"/>
  <c r="H275" i="1"/>
  <c r="G275" i="1"/>
  <c r="F275" i="1"/>
  <c r="H294" i="1"/>
  <c r="H319" i="1"/>
  <c r="H300" i="1"/>
  <c r="H281" i="1"/>
  <c r="G313" i="1"/>
  <c r="G283" i="1"/>
  <c r="F283" i="1"/>
  <c r="K280" i="1"/>
  <c r="G280" i="1"/>
  <c r="I275" i="1"/>
  <c r="K275" i="1"/>
  <c r="I314" i="1"/>
  <c r="I295" i="1"/>
  <c r="I276" i="1"/>
  <c r="H314" i="1"/>
  <c r="H295" i="1"/>
  <c r="H276" i="1"/>
  <c r="J314" i="1"/>
  <c r="J295" i="1"/>
  <c r="J276" i="1"/>
  <c r="F295" i="1"/>
  <c r="I300" i="1"/>
  <c r="I294" i="1"/>
  <c r="G294" i="1"/>
  <c r="F294" i="1"/>
  <c r="H313" i="1"/>
  <c r="H332" i="1"/>
  <c r="G332" i="1"/>
  <c r="F332" i="1"/>
  <c r="H324" i="1"/>
  <c r="K315" i="1"/>
  <c r="H154" i="1" l="1"/>
  <c r="H158" i="1"/>
  <c r="H153" i="1"/>
  <c r="H156" i="1"/>
  <c r="H155" i="1"/>
  <c r="H22" i="1"/>
  <c r="H13" i="1"/>
  <c r="C37" i="10" l="1"/>
  <c r="F40" i="2" l="1"/>
  <c r="G654" i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C110" i="2" s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F15" i="13"/>
  <c r="G15" i="13"/>
  <c r="L207" i="1"/>
  <c r="F661" i="1" s="1"/>
  <c r="L225" i="1"/>
  <c r="G649" i="1" s="1"/>
  <c r="L243" i="1"/>
  <c r="H661" i="1" s="1"/>
  <c r="F17" i="13"/>
  <c r="G17" i="13"/>
  <c r="L250" i="1"/>
  <c r="F18" i="13"/>
  <c r="G18" i="13"/>
  <c r="L251" i="1"/>
  <c r="C113" i="2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C19" i="10" s="1"/>
  <c r="L323" i="1"/>
  <c r="L324" i="1"/>
  <c r="L325" i="1"/>
  <c r="E124" i="2" s="1"/>
  <c r="L332" i="1"/>
  <c r="L333" i="1"/>
  <c r="L334" i="1"/>
  <c r="L259" i="1"/>
  <c r="L260" i="1"/>
  <c r="H25" i="13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92" i="1" s="1"/>
  <c r="C137" i="2" s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H111" i="1" s="1"/>
  <c r="I59" i="1"/>
  <c r="F78" i="1"/>
  <c r="F93" i="1"/>
  <c r="F110" i="1"/>
  <c r="G110" i="1"/>
  <c r="H78" i="1"/>
  <c r="E56" i="2" s="1"/>
  <c r="E61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J139" i="1" s="1"/>
  <c r="F146" i="1"/>
  <c r="F161" i="1"/>
  <c r="G146" i="1"/>
  <c r="G161" i="1"/>
  <c r="H146" i="1"/>
  <c r="H161" i="1"/>
  <c r="H168" i="1" s="1"/>
  <c r="I146" i="1"/>
  <c r="I161" i="1"/>
  <c r="I168" i="1" s="1"/>
  <c r="L249" i="1"/>
  <c r="L331" i="1"/>
  <c r="C23" i="10" s="1"/>
  <c r="L253" i="1"/>
  <c r="C25" i="10"/>
  <c r="L267" i="1"/>
  <c r="L268" i="1"/>
  <c r="C142" i="2" s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I551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E18" i="2" s="1"/>
  <c r="F8" i="2"/>
  <c r="F18" i="2" s="1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F31" i="2" s="1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D55" i="2"/>
  <c r="F55" i="2"/>
  <c r="C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F61" i="2" s="1"/>
  <c r="F62" i="2" s="1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E102" i="2" s="1"/>
  <c r="F95" i="2"/>
  <c r="G95" i="2"/>
  <c r="G102" i="2" s="1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E110" i="2"/>
  <c r="E111" i="2"/>
  <c r="C112" i="2"/>
  <c r="E112" i="2"/>
  <c r="D114" i="2"/>
  <c r="F114" i="2"/>
  <c r="G114" i="2"/>
  <c r="E118" i="2"/>
  <c r="E119" i="2"/>
  <c r="E120" i="2"/>
  <c r="C121" i="2"/>
  <c r="E121" i="2"/>
  <c r="E122" i="2"/>
  <c r="E123" i="2"/>
  <c r="F127" i="2"/>
  <c r="G127" i="2"/>
  <c r="C129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D39" i="2" s="1"/>
  <c r="H19" i="1"/>
  <c r="G618" i="1" s="1"/>
  <c r="I19" i="1"/>
  <c r="F32" i="1"/>
  <c r="G32" i="1"/>
  <c r="H32" i="1"/>
  <c r="I32" i="1"/>
  <c r="H50" i="1"/>
  <c r="F176" i="1"/>
  <c r="F191" i="1" s="1"/>
  <c r="I176" i="1"/>
  <c r="F182" i="1"/>
  <c r="G182" i="1"/>
  <c r="H182" i="1"/>
  <c r="H191" i="1" s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L255" i="1" s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J642" i="1" s="1"/>
  <c r="G407" i="1"/>
  <c r="H644" i="1" s="1"/>
  <c r="H407" i="1"/>
  <c r="I407" i="1"/>
  <c r="L412" i="1"/>
  <c r="L418" i="1" s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G459" i="1"/>
  <c r="G460" i="1" s="1"/>
  <c r="H639" i="1" s="1"/>
  <c r="H459" i="1"/>
  <c r="H460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9" i="1" s="1"/>
  <c r="L558" i="1"/>
  <c r="F559" i="1"/>
  <c r="G559" i="1"/>
  <c r="H559" i="1"/>
  <c r="I559" i="1"/>
  <c r="J559" i="1"/>
  <c r="J570" i="1" s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3" i="1"/>
  <c r="H635" i="1"/>
  <c r="H637" i="1"/>
  <c r="G640" i="1"/>
  <c r="H640" i="1"/>
  <c r="G642" i="1"/>
  <c r="G643" i="1"/>
  <c r="H643" i="1"/>
  <c r="J643" i="1" s="1"/>
  <c r="G648" i="1"/>
  <c r="J648" i="1" s="1"/>
  <c r="G651" i="1"/>
  <c r="H651" i="1"/>
  <c r="G652" i="1"/>
  <c r="H652" i="1"/>
  <c r="G653" i="1"/>
  <c r="H653" i="1"/>
  <c r="H654" i="1"/>
  <c r="J654" i="1" s="1"/>
  <c r="D18" i="13"/>
  <c r="C18" i="13" s="1"/>
  <c r="D17" i="13"/>
  <c r="C17" i="13" s="1"/>
  <c r="G80" i="2"/>
  <c r="F90" i="2"/>
  <c r="D19" i="13"/>
  <c r="C19" i="13" s="1"/>
  <c r="E13" i="13"/>
  <c r="C13" i="13" s="1"/>
  <c r="E77" i="2"/>
  <c r="J640" i="1"/>
  <c r="K570" i="1"/>
  <c r="L432" i="1"/>
  <c r="F168" i="1"/>
  <c r="L400" i="1"/>
  <c r="C138" i="2" s="1"/>
  <c r="F22" i="13"/>
  <c r="C22" i="13" s="1"/>
  <c r="H570" i="1"/>
  <c r="E16" i="13"/>
  <c r="C16" i="13" s="1"/>
  <c r="I570" i="1"/>
  <c r="G36" i="2"/>
  <c r="A40" i="12" l="1"/>
  <c r="A31" i="12"/>
  <c r="A13" i="12"/>
  <c r="C124" i="2"/>
  <c r="G616" i="1"/>
  <c r="F49" i="1"/>
  <c r="E31" i="2"/>
  <c r="H51" i="1"/>
  <c r="H618" i="1" s="1"/>
  <c r="G619" i="1"/>
  <c r="I48" i="1"/>
  <c r="L564" i="1"/>
  <c r="L570" i="1" s="1"/>
  <c r="F570" i="1"/>
  <c r="L533" i="1"/>
  <c r="H551" i="1"/>
  <c r="L543" i="1"/>
  <c r="J551" i="1"/>
  <c r="H544" i="1"/>
  <c r="K544" i="1"/>
  <c r="J544" i="1"/>
  <c r="G551" i="1"/>
  <c r="K550" i="1"/>
  <c r="K549" i="1"/>
  <c r="G544" i="1"/>
  <c r="F551" i="1"/>
  <c r="L523" i="1"/>
  <c r="I544" i="1"/>
  <c r="K548" i="1"/>
  <c r="K604" i="1"/>
  <c r="G647" i="1" s="1"/>
  <c r="K597" i="1"/>
  <c r="G646" i="1" s="1"/>
  <c r="G638" i="1"/>
  <c r="F458" i="1"/>
  <c r="J639" i="1"/>
  <c r="C29" i="10"/>
  <c r="F129" i="2"/>
  <c r="F143" i="2" s="1"/>
  <c r="F144" i="2" s="1"/>
  <c r="I445" i="1"/>
  <c r="G641" i="1" s="1"/>
  <c r="C17" i="10"/>
  <c r="D15" i="13"/>
  <c r="C15" i="13" s="1"/>
  <c r="C16" i="10"/>
  <c r="E8" i="13"/>
  <c r="C8" i="13" s="1"/>
  <c r="C119" i="2"/>
  <c r="C108" i="2"/>
  <c r="C114" i="2" s="1"/>
  <c r="C118" i="2"/>
  <c r="L210" i="1"/>
  <c r="G661" i="1"/>
  <c r="C120" i="2"/>
  <c r="D7" i="13"/>
  <c r="C7" i="13" s="1"/>
  <c r="C117" i="2"/>
  <c r="K256" i="1"/>
  <c r="K270" i="1" s="1"/>
  <c r="L228" i="1"/>
  <c r="F256" i="1"/>
  <c r="F270" i="1" s="1"/>
  <c r="J256" i="1"/>
  <c r="J270" i="1" s="1"/>
  <c r="H646" i="1"/>
  <c r="J646" i="1" s="1"/>
  <c r="G650" i="1"/>
  <c r="J650" i="1" s="1"/>
  <c r="C123" i="2"/>
  <c r="C21" i="10"/>
  <c r="D12" i="13"/>
  <c r="C12" i="13" s="1"/>
  <c r="D6" i="13"/>
  <c r="C6" i="13" s="1"/>
  <c r="C13" i="10"/>
  <c r="C11" i="10"/>
  <c r="I256" i="1"/>
  <c r="I270" i="1" s="1"/>
  <c r="D5" i="13"/>
  <c r="C5" i="13" s="1"/>
  <c r="G256" i="1"/>
  <c r="G270" i="1" s="1"/>
  <c r="C77" i="2"/>
  <c r="C80" i="2" s="1"/>
  <c r="C61" i="2"/>
  <c r="C55" i="2"/>
  <c r="C62" i="2" s="1"/>
  <c r="F111" i="1"/>
  <c r="C31" i="2"/>
  <c r="C18" i="2"/>
  <c r="G161" i="2"/>
  <c r="G159" i="2"/>
  <c r="G158" i="2"/>
  <c r="G162" i="2"/>
  <c r="G163" i="2"/>
  <c r="G155" i="2"/>
  <c r="G160" i="2"/>
  <c r="C25" i="13"/>
  <c r="H33" i="13"/>
  <c r="C26" i="10"/>
  <c r="L613" i="1"/>
  <c r="L528" i="1"/>
  <c r="G191" i="1"/>
  <c r="D90" i="2"/>
  <c r="E49" i="2"/>
  <c r="E80" i="2"/>
  <c r="K499" i="1"/>
  <c r="I451" i="1"/>
  <c r="D49" i="2"/>
  <c r="D50" i="2" s="1"/>
  <c r="D80" i="2"/>
  <c r="E55" i="2"/>
  <c r="E62" i="2" s="1"/>
  <c r="E143" i="2"/>
  <c r="I661" i="1"/>
  <c r="G644" i="1"/>
  <c r="J644" i="1" s="1"/>
  <c r="L538" i="1"/>
  <c r="K502" i="1"/>
  <c r="L381" i="1"/>
  <c r="G635" i="1" s="1"/>
  <c r="J635" i="1" s="1"/>
  <c r="G111" i="1"/>
  <c r="C18" i="10"/>
  <c r="C12" i="10"/>
  <c r="G617" i="1"/>
  <c r="G50" i="1"/>
  <c r="D18" i="2"/>
  <c r="I368" i="1"/>
  <c r="H633" i="1" s="1"/>
  <c r="J633" i="1" s="1"/>
  <c r="F660" i="1"/>
  <c r="D126" i="2"/>
  <c r="D127" i="2" s="1"/>
  <c r="D144" i="2" s="1"/>
  <c r="H660" i="1"/>
  <c r="L361" i="1"/>
  <c r="G660" i="1"/>
  <c r="D29" i="13"/>
  <c r="C29" i="13" s="1"/>
  <c r="C15" i="10"/>
  <c r="L350" i="1"/>
  <c r="L289" i="1"/>
  <c r="E117" i="2"/>
  <c r="E127" i="2" s="1"/>
  <c r="E113" i="2"/>
  <c r="E108" i="2"/>
  <c r="G337" i="1"/>
  <c r="G351" i="1" s="1"/>
  <c r="F337" i="1"/>
  <c r="F351" i="1" s="1"/>
  <c r="L308" i="1"/>
  <c r="C10" i="10"/>
  <c r="H337" i="1"/>
  <c r="H351" i="1" s="1"/>
  <c r="L336" i="1"/>
  <c r="K337" i="1"/>
  <c r="K351" i="1" s="1"/>
  <c r="L327" i="1"/>
  <c r="J337" i="1"/>
  <c r="J351" i="1" s="1"/>
  <c r="E50" i="2"/>
  <c r="C24" i="10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L407" i="1"/>
  <c r="H645" i="1" s="1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168" i="1"/>
  <c r="C39" i="10" s="1"/>
  <c r="G139" i="1"/>
  <c r="F139" i="1"/>
  <c r="C36" i="10"/>
  <c r="G62" i="2"/>
  <c r="G103" i="2" s="1"/>
  <c r="G42" i="2"/>
  <c r="G16" i="2"/>
  <c r="J19" i="1"/>
  <c r="G620" i="1" s="1"/>
  <c r="G18" i="2"/>
  <c r="F544" i="1"/>
  <c r="H433" i="1"/>
  <c r="J618" i="1"/>
  <c r="D102" i="2"/>
  <c r="I139" i="1"/>
  <c r="I192" i="1" s="1"/>
  <c r="A22" i="12"/>
  <c r="J651" i="1"/>
  <c r="G570" i="1"/>
  <c r="I433" i="1"/>
  <c r="G433" i="1"/>
  <c r="I662" i="1"/>
  <c r="C48" i="2" l="1"/>
  <c r="C49" i="2" s="1"/>
  <c r="C50" i="2" s="1"/>
  <c r="F50" i="1"/>
  <c r="G629" i="1"/>
  <c r="I467" i="1"/>
  <c r="F47" i="2"/>
  <c r="F49" i="2" s="1"/>
  <c r="F50" i="2" s="1"/>
  <c r="I50" i="1"/>
  <c r="K551" i="1"/>
  <c r="L544" i="1"/>
  <c r="F459" i="1"/>
  <c r="F460" i="1" s="1"/>
  <c r="H638" i="1" s="1"/>
  <c r="J638" i="1" s="1"/>
  <c r="I458" i="1"/>
  <c r="G636" i="1"/>
  <c r="J467" i="1"/>
  <c r="E33" i="13"/>
  <c r="D35" i="13" s="1"/>
  <c r="F659" i="1"/>
  <c r="F663" i="1" s="1"/>
  <c r="F666" i="1" s="1"/>
  <c r="G659" i="1"/>
  <c r="G663" i="1" s="1"/>
  <c r="G666" i="1" s="1"/>
  <c r="C103" i="2"/>
  <c r="F192" i="1"/>
  <c r="D103" i="2"/>
  <c r="E103" i="2"/>
  <c r="G51" i="1"/>
  <c r="H617" i="1" s="1"/>
  <c r="J617" i="1" s="1"/>
  <c r="G622" i="1"/>
  <c r="C27" i="10"/>
  <c r="G471" i="1"/>
  <c r="G634" i="1"/>
  <c r="I660" i="1"/>
  <c r="E114" i="2"/>
  <c r="E144" i="2" s="1"/>
  <c r="H647" i="1"/>
  <c r="J647" i="1" s="1"/>
  <c r="L337" i="1"/>
  <c r="L351" i="1" s="1"/>
  <c r="G632" i="1" s="1"/>
  <c r="D31" i="13"/>
  <c r="C31" i="13" s="1"/>
  <c r="G628" i="1"/>
  <c r="H467" i="1"/>
  <c r="G630" i="1"/>
  <c r="J645" i="1"/>
  <c r="G192" i="1"/>
  <c r="C38" i="10"/>
  <c r="G621" i="1" l="1"/>
  <c r="F51" i="1"/>
  <c r="H616" i="1" s="1"/>
  <c r="J616" i="1" s="1"/>
  <c r="H629" i="1"/>
  <c r="I469" i="1"/>
  <c r="I475" i="1" s="1"/>
  <c r="H624" i="1" s="1"/>
  <c r="J629" i="1"/>
  <c r="I51" i="1"/>
  <c r="H619" i="1" s="1"/>
  <c r="J619" i="1" s="1"/>
  <c r="G624" i="1"/>
  <c r="J47" i="1"/>
  <c r="I459" i="1"/>
  <c r="I460" i="1" s="1"/>
  <c r="H641" i="1" s="1"/>
  <c r="J641" i="1" s="1"/>
  <c r="J469" i="1"/>
  <c r="J475" i="1" s="1"/>
  <c r="H625" i="1" s="1"/>
  <c r="H636" i="1"/>
  <c r="H630" i="1"/>
  <c r="J630" i="1" s="1"/>
  <c r="J636" i="1"/>
  <c r="G626" i="1"/>
  <c r="F467" i="1"/>
  <c r="G627" i="1"/>
  <c r="G467" i="1"/>
  <c r="G473" i="1"/>
  <c r="H634" i="1"/>
  <c r="J634" i="1" s="1"/>
  <c r="F671" i="1"/>
  <c r="C4" i="10" s="1"/>
  <c r="G671" i="1"/>
  <c r="C5" i="10" s="1"/>
  <c r="H471" i="1"/>
  <c r="H632" i="1" s="1"/>
  <c r="J632" i="1" s="1"/>
  <c r="H469" i="1"/>
  <c r="H628" i="1"/>
  <c r="J628" i="1" s="1"/>
  <c r="C41" i="10"/>
  <c r="D38" i="10" s="1"/>
  <c r="J624" i="1" l="1"/>
  <c r="G46" i="2"/>
  <c r="G49" i="2" s="1"/>
  <c r="G50" i="2" s="1"/>
  <c r="J50" i="1"/>
  <c r="F469" i="1"/>
  <c r="H626" i="1"/>
  <c r="J626" i="1" s="1"/>
  <c r="H627" i="1"/>
  <c r="J627" i="1" s="1"/>
  <c r="G469" i="1"/>
  <c r="G475" i="1" s="1"/>
  <c r="H622" i="1" s="1"/>
  <c r="J622" i="1" s="1"/>
  <c r="H473" i="1"/>
  <c r="H475" i="1" s="1"/>
  <c r="H623" i="1" s="1"/>
  <c r="D37" i="10"/>
  <c r="D36" i="10"/>
  <c r="D35" i="10"/>
  <c r="D40" i="10"/>
  <c r="D39" i="10"/>
  <c r="J51" i="1" l="1"/>
  <c r="H620" i="1" s="1"/>
  <c r="J620" i="1" s="1"/>
  <c r="G625" i="1"/>
  <c r="J625" i="1" s="1"/>
  <c r="J623" i="1"/>
  <c r="D41" i="10"/>
  <c r="H246" i="1"/>
  <c r="H256" i="1" s="1"/>
  <c r="H270" i="1" s="1"/>
  <c r="L242" i="1"/>
  <c r="C122" i="2" s="1"/>
  <c r="C127" i="2" s="1"/>
  <c r="C144" i="2" s="1"/>
  <c r="C20" i="10" l="1"/>
  <c r="D14" i="13"/>
  <c r="L246" i="1"/>
  <c r="C28" i="10" l="1"/>
  <c r="H659" i="1"/>
  <c r="L256" i="1"/>
  <c r="L270" i="1" s="1"/>
  <c r="D33" i="13"/>
  <c r="D36" i="13" s="1"/>
  <c r="C14" i="13"/>
  <c r="G631" i="1" l="1"/>
  <c r="F471" i="1"/>
  <c r="H663" i="1"/>
  <c r="I659" i="1"/>
  <c r="I663" i="1" s="1"/>
  <c r="D17" i="10"/>
  <c r="D19" i="10"/>
  <c r="C30" i="10"/>
  <c r="D21" i="10"/>
  <c r="D10" i="10"/>
  <c r="D12" i="10"/>
  <c r="D27" i="10"/>
  <c r="D26" i="10"/>
  <c r="D15" i="10"/>
  <c r="D16" i="10"/>
  <c r="D23" i="10"/>
  <c r="D25" i="10"/>
  <c r="D18" i="10"/>
  <c r="D11" i="10"/>
  <c r="D13" i="10"/>
  <c r="D24" i="10"/>
  <c r="D22" i="10"/>
  <c r="D20" i="10"/>
  <c r="D28" i="10" l="1"/>
  <c r="I666" i="1"/>
  <c r="I671" i="1"/>
  <c r="C7" i="10" s="1"/>
  <c r="H671" i="1"/>
  <c r="C6" i="10" s="1"/>
  <c r="H666" i="1"/>
  <c r="F473" i="1"/>
  <c r="F475" i="1" s="1"/>
  <c r="H621" i="1" s="1"/>
  <c r="J621" i="1" s="1"/>
  <c r="H631" i="1"/>
  <c r="J631" i="1" s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<sst xmlns="http://schemas.openxmlformats.org/spreadsheetml/2006/main" count="3956" uniqueCount="921">
  <si>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</si>
  <si>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</si>
  <si>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</si>
  <si>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</si>
  <si>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</si>
  <si>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</si>
  <si>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</si>
  <si>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</si>
  <si>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</si>
  <si>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</si>
  <si>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</si>
  <si>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</si>
  <si>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</si>
  <si>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</si>
  <si>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</si>
  <si>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</si>
  <si>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</si>
  <si>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</si>
  <si>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</si>
  <si>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</si>
  <si>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</si>
  <si>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</si>
  <si>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</si>
  <si>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</si>
  <si>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</si>
  <si>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</si>
  <si>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</si>
  <si>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</si>
  <si>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</si>
  <si>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</si>
  <si>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</si>
  <si>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</si>
  <si>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</si>
  <si>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</si>
  <si>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</si>
  <si>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</si>
  <si>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</si>
  <si>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</si>
  <si>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</si>
  <si>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</si>
  <si>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</si>
  <si>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</si>
  <si>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</si>
  <si>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</si>
  <si>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</si>
  <si>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</si>
  <si>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</si>
  <si>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</si>
  <si>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</si>
  <si>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</si>
  <si>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</si>
  <si>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</si>
  <si>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</si>
  <si>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</si>
  <si>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</si>
  <si>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</si>
  <si>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</si>
  <si>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</si>
  <si>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</si>
  <si>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</si>
  <si>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</si>
  <si>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</si>
  <si>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</si>
  <si>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</si>
  <si>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</si>
  <si>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</si>
  <si>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</si>
  <si>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</si>
  <si>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</si>
  <si>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</si>
  <si>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</si>
  <si>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</si>
  <si>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</si>
  <si>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</si>
  <si>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</si>
  <si>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</si>
  <si>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</si>
  <si>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</si>
  <si>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</si>
  <si>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</si>
  <si>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</si>
  <si>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</si>
  <si>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</si>
  <si>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</si>
  <si>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</si>
  <si>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</si>
  <si>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</si>
  <si>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</si>
  <si>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</si>
  <si>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</si>
  <si>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</si>
  <si>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</si>
  <si>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</si>
  <si>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</si>
  <si>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</si>
  <si>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</si>
  <si>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</si>
  <si>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</si>
  <si>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</si>
  <si>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</si>
  <si>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</si>
  <si>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</si>
  <si>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</si>
  <si>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</si>
  <si>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</si>
  <si>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</si>
  <si>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</si>
  <si>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</si>
  <si>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</si>
  <si>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</si>
  <si>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</si>
  <si>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</si>
  <si>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</si>
  <si>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</si>
  <si>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</si>
  <si>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</si>
  <si>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</si>
  <si>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</si>
  <si>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</si>
  <si>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</si>
  <si>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</si>
  <si>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</si>
  <si>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</si>
  <si>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</si>
  <si>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</si>
  <si>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</si>
  <si>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</si>
  <si>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</si>
  <si>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</si>
  <si>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</si>
  <si>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</si>
  <si>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</si>
  <si>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</si>
  <si>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</si>
  <si>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</si>
  <si>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</si>
  <si>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</si>
  <si>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</si>
  <si>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</si>
  <si>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</si>
  <si>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</si>
  <si>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</si>
  <si>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</si>
  <si>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</si>
  <si>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</si>
  <si>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</si>
  <si>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</si>
  <si>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</si>
  <si>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</si>
  <si>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</si>
  <si>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</si>
  <si>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</si>
  <si>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</si>
  <si>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</si>
  <si>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</si>
  <si>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</si>
  <si>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</si>
  <si>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</si>
  <si>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</si>
  <si>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</si>
  <si>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</si>
  <si>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</si>
  <si>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</si>
  <si>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</si>
  <si>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</si>
  <si>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</si>
  <si>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</si>
  <si>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</si>
  <si>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</si>
  <si>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</si>
  <si>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</si>
  <si>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</si>
  <si>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</si>
  <si>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</si>
  <si>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</si>
  <si>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</si>
  <si>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</si>
  <si>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</si>
  <si>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</si>
  <si>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</si>
  <si>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</si>
  <si>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</si>
  <si>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</si>
  <si>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</si>
  <si>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</si>
  <si>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</si>
  <si>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</si>
  <si>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</si>
  <si>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</si>
  <si>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</si>
  <si>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</si>
  <si>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</si>
  <si>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</si>
  <si>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</si>
  <si>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</si>
  <si>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</si>
  <si>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</si>
  <si>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</si>
  <si>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</si>
  <si>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</si>
  <si>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</si>
  <si>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</si>
  <si>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</si>
  <si>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</si>
  <si>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</si>
  <si>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</si>
  <si>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</si>
  <si>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</si>
  <si>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</si>
  <si>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</si>
  <si>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</si>
  <si>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</si>
  <si>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</si>
  <si>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</si>
  <si>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</si>
  <si>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</si>
  <si>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</si>
  <si>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</si>
  <si>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</si>
  <si>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</si>
  <si>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</si>
  <si>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</si>
  <si>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</si>
  <si>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</si>
  <si>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</si>
  <si>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</si>
  <si>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</si>
  <si>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</si>
  <si>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</si>
  <si>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</si>
  <si>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</si>
  <si>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</si>
  <si>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</si>
  <si>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</si>
  <si>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</si>
  <si>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</si>
  <si>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</si>
  <si>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</si>
  <si>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</si>
  <si>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</si>
  <si>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</si>
  <si>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</si>
  <si>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</si>
  <si>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</si>
  <si>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</si>
  <si>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</si>
  <si>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</si>
  <si>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</si>
  <si>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</si>
  <si>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</si>
  <si>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</si>
  <si>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</si>
  <si>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</si>
  <si>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</si>
  <si>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</si>
  <si>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</si>
  <si>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</si>
  <si>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</si>
  <si>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</si>
  <si>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</si>
  <si>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</si>
  <si>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</si>
  <si>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</si>
  <si>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</si>
  <si>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</si>
  <si>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</si>
  <si>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</si>
  <si>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</si>
  <si>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</si>
  <si>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</si>
  <si>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</si>
  <si>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</si>
  <si>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</si>
  <si>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</si>
  <si>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</si>
  <si>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</si>
  <si>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</si>
  <si>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</si>
  <si>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</si>
  <si>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</si>
  <si>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</si>
  <si>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</si>
  <si>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</si>
  <si>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</si>
  <si>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</si>
  <si>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</si>
  <si>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</si>
  <si>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</si>
  <si>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</si>
  <si>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</si>
  <si>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</si>
  <si>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</si>
  <si>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</si>
  <si>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</si>
  <si>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</si>
  <si>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</si>
  <si>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</si>
  <si>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</si>
  <si>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</si>
  <si>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</si>
  <si>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</si>
  <si>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</si>
  <si>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</si>
  <si>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</si>
  <si>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</si>
  <si>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</si>
  <si>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</si>
  <si>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</si>
  <si>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</si>
  <si>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</si>
  <si>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</si>
  <si>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</si>
  <si>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</si>
  <si>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</si>
  <si>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</si>
  <si>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</si>
  <si>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</si>
  <si>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</si>
  <si>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</si>
  <si>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</si>
  <si>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</si>
  <si>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</si>
  <si>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</si>
  <si>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</si>
  <si>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</si>
  <si>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</si>
  <si>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</si>
  <si>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</si>
  <si>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</si>
  <si>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</si>
  <si>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</si>
  <si>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</si>
  <si>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</si>
  <si>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</si>
  <si>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</si>
  <si>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</si>
  <si>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</si>
  <si>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</si>
  <si>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</si>
  <si>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</si>
  <si>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</si>
  <si>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</si>
  <si>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</si>
  <si>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</si>
  <si>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</si>
  <si>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</si>
  <si>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</si>
  <si>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</si>
  <si>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</si>
  <si>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</si>
  <si>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</si>
  <si>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</si>
  <si>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</si>
  <si>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</si>
  <si>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</si>
  <si>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</si>
  <si>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</si>
  <si>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</si>
  <si>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</si>
  <si>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</si>
  <si>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</si>
  <si>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</si>
  <si>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</si>
  <si>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</si>
  <si>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</si>
  <si>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</si>
  <si>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</si>
  <si>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</si>
  <si>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</si>
  <si>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</si>
  <si>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</si>
  <si>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</si>
  <si>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</si>
  <si>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</si>
  <si>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</si>
  <si>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</si>
  <si>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</si>
  <si>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</si>
  <si>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</si>
  <si>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</si>
  <si>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</si>
  <si>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</si>
  <si>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</si>
  <si>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</si>
  <si>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</si>
  <si>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</si>
  <si>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</si>
  <si>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</si>
  <si>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</si>
  <si>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</si>
  <si>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</si>
  <si>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</si>
  <si>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</si>
  <si>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</si>
  <si>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</si>
  <si>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</si>
  <si>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</si>
  <si>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</si>
  <si>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</si>
  <si>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</si>
  <si>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</si>
  <si>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</si>
  <si>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</si>
  <si>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</si>
  <si>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</si>
  <si>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</si>
  <si>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</si>
  <si>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</si>
  <si>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</si>
  <si>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</si>
  <si>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</si>
  <si>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</si>
  <si>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</si>
  <si>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</si>
  <si>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</si>
  <si>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</si>
  <si>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</si>
  <si>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</si>
  <si>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</si>
  <si>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</si>
  <si>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</si>
  <si>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</si>
  <si>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</si>
  <si>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</si>
  <si>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</si>
  <si>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</si>
  <si>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</si>
  <si>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</si>
  <si>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</si>
  <si>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</si>
  <si>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</si>
  <si>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</si>
  <si>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</si>
  <si>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</si>
  <si>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</si>
  <si>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</si>
  <si>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</si>
  <si>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</si>
  <si>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</si>
  <si>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</si>
  <si>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</si>
  <si>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</si>
  <si>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</si>
  <si>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</si>
  <si>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</si>
  <si>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</si>
  <si>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</si>
  <si>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</si>
  <si>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</si>
  <si>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</si>
  <si>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</si>
  <si>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</si>
  <si>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</si>
  <si>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</si>
  <si>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</si>
  <si>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</si>
  <si>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</si>
  <si>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</si>
  <si>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</si>
  <si>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</si>
  <si>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</si>
  <si>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</si>
  <si>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</si>
  <si>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</si>
  <si>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</si>
  <si>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</si>
  <si>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</si>
  <si>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</si>
  <si>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</si>
  <si>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</si>
  <si>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</si>
  <si>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</si>
  <si>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</si>
  <si>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</si>
  <si>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</si>
  <si>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</si>
  <si>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</si>
  <si>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</si>
  <si>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</si>
  <si>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</si>
  <si>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</si>
  <si>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</si>
  <si>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</si>
  <si>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</si>
  <si>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</si>
  <si>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</si>
  <si>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</si>
  <si>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</si>
  <si>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</si>
  <si>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</si>
  <si>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</si>
  <si>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</si>
  <si>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</si>
  <si>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</si>
  <si>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</si>
  <si>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</si>
  <si>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</si>
  <si>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</si>
  <si>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</si>
  <si>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</si>
  <si>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</si>
  <si>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</si>
  <si>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</si>
  <si>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</si>
  <si>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</si>
  <si>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</si>
  <si>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</si>
  <si>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</si>
  <si>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</si>
  <si>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</si>
  <si>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</si>
  <si>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</si>
  <si>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</si>
  <si>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</si>
  <si>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</si>
  <si>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</si>
  <si>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</si>
  <si>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</si>
  <si>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</si>
  <si>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</si>
  <si>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</si>
  <si>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</si>
  <si>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</si>
  <si>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</si>
  <si>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</si>
  <si>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</si>
  <si>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</si>
  <si>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</si>
  <si>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</si>
  <si>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</si>
  <si>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</si>
  <si>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</si>
  <si>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</si>
  <si>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</si>
  <si>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</si>
  <si>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</si>
  <si>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</si>
  <si>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</si>
  <si>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</si>
  <si>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</si>
  <si>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</si>
  <si>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</si>
  <si>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</si>
  <si>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</si>
  <si>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</si>
  <si>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</si>
  <si>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</si>
  <si>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</si>
  <si>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</si>
  <si>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</si>
  <si>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</si>
  <si>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</si>
  <si>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</si>
  <si>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</si>
  <si>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</si>
  <si>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</si>
  <si>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</si>
  <si>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</si>
  <si>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</si>
  <si>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</si>
  <si>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</si>
  <si>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</si>
  <si>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</si>
  <si>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</si>
  <si>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</si>
  <si>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</si>
  <si>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</si>
  <si>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</si>
  <si>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</si>
  <si>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</si>
  <si>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</si>
  <si>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</si>
  <si>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</si>
  <si>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</si>
  <si>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</si>
  <si>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</si>
  <si>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</si>
  <si>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</si>
  <si>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</si>
  <si>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</si>
  <si>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</si>
  <si>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</si>
  <si>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</si>
  <si>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</si>
  <si>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</si>
  <si>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</si>
  <si>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</si>
  <si>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</si>
  <si>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</si>
  <si>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</si>
  <si>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</si>
  <si>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</si>
  <si>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</si>
  <si>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</si>
  <si>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</si>
  <si>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</si>
  <si>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</si>
  <si>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</si>
  <si>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</si>
  <si>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</si>
  <si>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</si>
  <si>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</si>
  <si>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</si>
  <si>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</si>
  <si>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</si>
  <si>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</si>
  <si>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</si>
  <si>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</si>
  <si>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</si>
  <si>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</si>
  <si>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</si>
  <si>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</si>
  <si>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</si>
  <si>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</si>
  <si>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</si>
  <si>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</si>
  <si>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</si>
  <si>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</si>
  <si>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</si>
  <si>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</si>
  <si>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</si>
  <si>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</si>
  <si>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</si>
  <si>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</si>
  <si>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</si>
  <si>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</si>
  <si>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</si>
  <si>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</si>
  <si>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</si>
  <si>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</si>
  <si>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</si>
  <si>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</si>
  <si>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</si>
  <si>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</si>
  <si>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</si>
  <si>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</si>
  <si>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</si>
  <si>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</si>
  <si>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</si>
  <si>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</si>
  <si>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</si>
  <si>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</si>
  <si>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</si>
  <si>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</si>
  <si>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</si>
  <si>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</si>
  <si>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</si>
  <si>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</si>
  <si>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</si>
  <si>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</si>
  <si>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</si>
  <si>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</si>
  <si>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</si>
  <si>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</si>
  <si>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</si>
  <si>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</si>
  <si>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</si>
  <si>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</si>
  <si>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</si>
  <si>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</si>
  <si>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</si>
  <si>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</si>
  <si>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</si>
  <si>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</si>
  <si>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</si>
  <si>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</si>
  <si>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</si>
  <si>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</si>
  <si>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</si>
  <si>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</si>
  <si>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</si>
  <si>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</si>
  <si>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</si>
  <si>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</si>
  <si>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</si>
  <si>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</si>
  <si>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</si>
  <si>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</si>
  <si>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</si>
  <si>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</si>
  <si>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</si>
  <si>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</si>
  <si>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</si>
  <si>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</si>
  <si>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</si>
  <si>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</si>
  <si>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</si>
  <si>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</si>
  <si>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</si>
  <si>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</si>
  <si>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</si>
  <si>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</si>
  <si>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</si>
  <si>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</si>
  <si>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</si>
  <si>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</si>
  <si>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</si>
  <si>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</si>
  <si>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</si>
  <si>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</si>
  <si>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</si>
  <si>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</si>
  <si>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</si>
  <si>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</si>
  <si>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</si>
  <si>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</si>
  <si>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</si>
  <si>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</si>
  <si>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</si>
  <si>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</si>
  <si>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</si>
  <si>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</si>
  <si>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</si>
  <si>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</si>
  <si>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</si>
  <si>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</si>
  <si>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</si>
  <si>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</si>
  <si>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</si>
  <si>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</si>
  <si>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</si>
  <si>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</si>
  <si>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</si>
  <si>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</si>
  <si>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</si>
  <si>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</si>
  <si>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</si>
  <si>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</si>
  <si>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</si>
  <si>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</si>
  <si>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</si>
  <si>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</si>
  <si>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</si>
  <si>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</si>
  <si>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</si>
  <si>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</si>
  <si>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</si>
  <si>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</si>
  <si>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</si>
  <si>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</si>
  <si>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</si>
  <si>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</si>
  <si>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</si>
  <si>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</si>
  <si>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</si>
  <si>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</si>
  <si>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</si>
  <si>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</si>
  <si>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</si>
  <si>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</si>
  <si>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</si>
  <si>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</si>
  <si>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</si>
  <si>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</si>
  <si>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</si>
  <si>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</si>
  <si>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</si>
  <si>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</si>
  <si>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</si>
  <si>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</si>
  <si>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</si>
  <si>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</si>
  <si>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</si>
  <si>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</si>
  <si>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</si>
  <si>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</si>
  <si>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</si>
  <si>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</si>
  <si>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</si>
  <si>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</si>
  <si>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</si>
  <si>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</si>
  <si>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</si>
  <si>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</si>
  <si>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</si>
  <si>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</si>
  <si>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</si>
  <si>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</si>
  <si>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</si>
  <si>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</si>
  <si>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</si>
  <si>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</si>
  <si>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</si>
  <si>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</si>
  <si>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</si>
  <si>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</si>
  <si>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</si>
  <si>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</si>
  <si>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</si>
  <si>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</si>
  <si>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</si>
  <si>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</si>
  <si>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</si>
  <si>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</si>
  <si>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</si>
  <si>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</si>
  <si>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</si>
  <si>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</si>
  <si>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</si>
  <si>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</si>
  <si>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</si>
  <si>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</si>
  <si>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</si>
  <si>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</si>
  <si>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</si>
  <si>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</si>
  <si>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</si>
  <si>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</si>
  <si>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</si>
  <si>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</si>
  <si>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</si>
  <si>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</si>
  <si>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</si>
  <si>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</si>
  <si>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</si>
  <si>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</si>
  <si>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</si>
  <si>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</si>
  <si>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</si>
  <si>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</si>
  <si>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</si>
  <si>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</si>
  <si>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</si>
  <si>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</si>
  <si>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</si>
  <si>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</si>
  <si>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</si>
  <si>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</si>
  <si>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</si>
  <si>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</si>
  <si>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</si>
  <si>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</si>
  <si>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</si>
  <si>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</si>
  <si>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</si>
  <si>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</si>
  <si>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</si>
  <si>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</si>
  <si>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</si>
  <si>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</si>
  <si>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</si>
  <si>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</si>
  <si>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</si>
  <si>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</si>
  <si>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</si>
  <si>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</si>
  <si>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</si>
  <si>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</si>
  <si>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</si>
  <si>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</si>
  <si>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</si>
  <si>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</si>
  <si>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</si>
  <si>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</si>
  <si>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</si>
  <si>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</si>
  <si>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</si>
  <si>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</si>
  <si>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</si>
  <si>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</si>
  <si>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</si>
  <si>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</si>
  <si>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</si>
  <si>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</si>
  <si>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</si>
  <si>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</si>
  <si>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</si>
  <si>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</si>
  <si>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</si>
  <si>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</si>
  <si>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</si>
  <si>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</si>
  <si>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</si>
  <si>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</si>
  <si>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</si>
  <si>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</si>
  <si>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</si>
  <si>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</si>
  <si>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</si>
  <si>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</si>
  <si>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</si>
  <si>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</si>
  <si>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</si>
  <si>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</si>
  <si>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</si>
  <si>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</si>
  <si>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</si>
  <si>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</si>
  <si>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</si>
  <si>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</si>
  <si>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</si>
  <si>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</si>
  <si>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</si>
  <si>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</si>
  <si>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</si>
  <si>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</si>
  <si>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</si>
  <si>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</si>
  <si>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</si>
  <si>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</si>
  <si>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</si>
  <si>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</si>
  <si>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</si>
  <si>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</si>
  <si>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</si>
  <si>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</si>
  <si>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</si>
  <si>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</si>
  <si>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</si>
  <si>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FS: Adjustment for PY</t>
  </si>
  <si>
    <t>10 Years</t>
  </si>
  <si>
    <t>15 Years</t>
  </si>
  <si>
    <t>03/2002</t>
  </si>
  <si>
    <t>07/2012</t>
  </si>
  <si>
    <t>10/1998</t>
  </si>
  <si>
    <t>10/2012</t>
  </si>
  <si>
    <t>12/2012</t>
  </si>
  <si>
    <t>02/2023</t>
  </si>
  <si>
    <t>Reg Tuition includes preschool for non-identified students</t>
  </si>
  <si>
    <t>Reimbursement for homeless transportation</t>
  </si>
  <si>
    <t>Contoocook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</si>
</sst>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="80" zoomScaleNormal="8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920</v>
      </c>
      <c r="B2" s="21">
        <v>112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964310.16+6940</f>
        <v>971250.16</v>
      </c>
      <c r="G9" s="18">
        <f>2606.97+2900+1559.1</f>
        <v>7066.07</v>
      </c>
      <c r="H9" s="18"/>
      <c r="I9" s="18">
        <f>227882.57</f>
        <v>227882.57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5811.82</f>
        <v>5811.82</v>
      </c>
      <c r="G10" s="18"/>
      <c r="H10" s="18"/>
      <c r="I10" s="18"/>
      <c r="J10" s="67">
        <f>SUM(I439)</f>
        <v>532913.13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319760.85+183124.29</f>
        <v>502885.14</v>
      </c>
      <c r="G12" s="18"/>
      <c r="H12" s="18"/>
      <c r="I12" s="18">
        <f>8068.2</f>
        <v>8068.2</v>
      </c>
      <c r="J12" s="67">
        <f>SUM(I440)</f>
        <v>250000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92973+558329</f>
        <v>651302</v>
      </c>
      <c r="G13" s="18">
        <f>14488.06+41014.94+3613.28+7713.36</f>
        <v>66829.64</v>
      </c>
      <c r="H13" s="18">
        <f>183124.19</f>
        <v>183124.19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702265.95-F13+12633.45</f>
        <v>63597.399999999951</v>
      </c>
      <c r="G14" s="18">
        <f>28468.15+3304.6</f>
        <v>31772.75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27126.240000000002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155247.63</f>
        <v>155247.63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2350094.15</v>
      </c>
      <c r="G19" s="41">
        <f>SUM(G9:G18)</f>
        <v>132794.69999999998</v>
      </c>
      <c r="H19" s="41">
        <f>SUM(H9:H18)</f>
        <v>183124.19</v>
      </c>
      <c r="I19" s="41">
        <f>SUM(I9:I18)</f>
        <v>235950.77000000002</v>
      </c>
      <c r="J19" s="41">
        <f>SUM(J9:J18)</f>
        <v>782913.13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50000+200000</f>
        <v>250000</v>
      </c>
      <c r="G22" s="18">
        <f>320979.71</f>
        <v>320979.71000000002</v>
      </c>
      <c r="H22" s="18">
        <f>183124.19</f>
        <v>183124.19</v>
      </c>
      <c r="I22" s="18"/>
      <c r="J22" s="67">
        <f>SUM(I447)</f>
        <v>1955.39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184941.75-50000</f>
        <v>134941.75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4268</f>
        <v>4268</v>
      </c>
      <c r="G30" s="18"/>
      <c r="H30" s="18">
        <f>1158.31</f>
        <v>1158.31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389209.75</v>
      </c>
      <c r="G32" s="41">
        <f>SUM(G22:G31)</f>
        <v>320979.71000000002</v>
      </c>
      <c r="H32" s="41">
        <f>SUM(H22:H31)</f>
        <v>184282.5</v>
      </c>
      <c r="I32" s="41">
        <f>SUM(I22:I31)</f>
        <v>0</v>
      </c>
      <c r="J32" s="41">
        <f>SUM(J22:J31)</f>
        <v>1955.39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f>G16</f>
        <v>27126.240000000002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155247.63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-215311.25</f>
        <v>-215311.25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100000+100000+50000</f>
        <v>250000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292908.49</f>
        <v>292908.49</v>
      </c>
      <c r="G47" s="18"/>
      <c r="H47" s="18"/>
      <c r="I47" s="18"/>
      <c r="J47" s="13">
        <f>SUM(I458)</f>
        <v>780957.74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566905.38</f>
        <v>566905.38</v>
      </c>
      <c r="G48" s="18"/>
      <c r="H48" s="18">
        <v>-1158.31</v>
      </c>
      <c r="I48" s="18">
        <f>I19-I32</f>
        <v>235950.77000000002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F19-F22-F24-F30-F36-F44-F47-F48</f>
        <v>695822.9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1960884.4</v>
      </c>
      <c r="G50" s="41">
        <f>SUM(G35:G49)</f>
        <v>-188185.01</v>
      </c>
      <c r="H50" s="41">
        <f>SUM(H35:H49)</f>
        <v>-1158.31</v>
      </c>
      <c r="I50" s="41">
        <f>SUM(I35:I49)</f>
        <v>235950.77000000002</v>
      </c>
      <c r="J50" s="41">
        <f>SUM(J35:J49)</f>
        <v>780957.74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2350094.15</v>
      </c>
      <c r="G51" s="41">
        <f>G50+G32</f>
        <v>132794.70000000001</v>
      </c>
      <c r="H51" s="41">
        <f>H50+H32</f>
        <v>183124.19</v>
      </c>
      <c r="I51" s="41">
        <f>I50+I32</f>
        <v>235950.77000000002</v>
      </c>
      <c r="J51" s="41">
        <f>J50+J32</f>
        <v>782913.13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30986857-5006670</f>
        <v>25980187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25980187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15079.47+39094.23</f>
        <v>54173.700000000004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88242.33</f>
        <v>88242.33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70930.8</f>
        <v>70930.8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213346.83000000002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1335.29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1335.29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3788.19</v>
      </c>
      <c r="G95" s="18">
        <v>107.96</v>
      </c>
      <c r="H95" s="18"/>
      <c r="I95" s="18"/>
      <c r="J95" s="18">
        <v>1330.15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2.04+27412.19+53043.91+52243.79+302.06+86624.87+1110.66+307074.27+1219.91+28468.15</f>
        <v>557501.85000000009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36832</f>
        <v>36832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f>4063.09-F85</f>
        <v>2727.8</v>
      </c>
      <c r="G98" s="18">
        <f>62.15+3274.16+9340.62+10109.6</f>
        <v>22786.53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>
        <v>38.869999999999997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43347.990000000005</v>
      </c>
      <c r="G110" s="41">
        <f>SUM(G95:G109)</f>
        <v>580435.21000000008</v>
      </c>
      <c r="H110" s="41">
        <f>SUM(H95:H109)</f>
        <v>0</v>
      </c>
      <c r="I110" s="41">
        <f>SUM(I95:I109)</f>
        <v>0</v>
      </c>
      <c r="J110" s="41">
        <f>SUM(J95:J109)</f>
        <v>1330.15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26238217.109999996</v>
      </c>
      <c r="G111" s="41">
        <f>G59+G110</f>
        <v>580435.21000000008</v>
      </c>
      <c r="H111" s="41">
        <f>H59+H78+H93+H110</f>
        <v>0</v>
      </c>
      <c r="I111" s="41">
        <f>I59+I110</f>
        <v>0</v>
      </c>
      <c r="J111" s="41">
        <f>J59+J110</f>
        <v>1330.15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8859888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5006670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13866558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1258408.75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461896.92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44284.99+1232.81</f>
        <v>45517.799999999996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f>2765.58+76.99</f>
        <v>2842.5699999999997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12825.42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1768666.04</v>
      </c>
      <c r="G135" s="41">
        <f>SUM(G122:G134)</f>
        <v>12825.42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15635224.039999999</v>
      </c>
      <c r="G139" s="41">
        <f>G120+SUM(G135:G136)</f>
        <v>12825.42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19222.05+350436.37</f>
        <v>369658.42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1334.2+111457.18+22311.97</f>
        <v>135103.34999999998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10191.1+81592.9</f>
        <v>91784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11354.58</f>
        <v>11354.58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19326.64+40278.21+11092.82+36272.54+13915.14+45740.22+6602.26+35502.74+10469.66+39664.41+31055.68+84234.11+7713.36</f>
        <v>381867.79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611841.22</f>
        <v>611841.22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322813.75+12633.43</f>
        <v>335447.18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335447.18</v>
      </c>
      <c r="G161" s="41">
        <f>SUM(G149:G160)</f>
        <v>381867.79</v>
      </c>
      <c r="H161" s="41">
        <f>SUM(H149:H160)</f>
        <v>1219741.5699999998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335447.18</v>
      </c>
      <c r="G168" s="41">
        <f>G146+G161+SUM(G162:G167)</f>
        <v>381867.79</v>
      </c>
      <c r="H168" s="41">
        <f>H146+H161+SUM(H162:H167)</f>
        <v>1219741.5699999998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4000000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>
        <f>596.78</f>
        <v>596.78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4000596.78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260485.66+21344</f>
        <v>281829.66000000003</v>
      </c>
      <c r="H178" s="18"/>
      <c r="I178" s="18"/>
      <c r="J178" s="18">
        <f>200000</f>
        <v>200000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281829.66000000003</v>
      </c>
      <c r="H182" s="41">
        <f>SUM(H178:H181)</f>
        <v>0</v>
      </c>
      <c r="I182" s="41">
        <f>SUM(I178:I181)</f>
        <v>0</v>
      </c>
      <c r="J182" s="41">
        <f>SUM(J178:J181)</f>
        <v>200000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281829.66000000003</v>
      </c>
      <c r="H191" s="41">
        <f>+H182+SUM(H187:H190)</f>
        <v>0</v>
      </c>
      <c r="I191" s="41">
        <f>I176+I182+SUM(I187:I190)</f>
        <v>4000596.78</v>
      </c>
      <c r="J191" s="41">
        <f>J182</f>
        <v>200000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42208888.329999991</v>
      </c>
      <c r="G192" s="47">
        <f>G111+G139+G168+G191</f>
        <v>1256958.08</v>
      </c>
      <c r="H192" s="47">
        <f>H111+H139+H168+H191</f>
        <v>1219741.5699999998</v>
      </c>
      <c r="I192" s="47">
        <f>I111+I139+I168+I191</f>
        <v>4000596.78</v>
      </c>
      <c r="J192" s="47">
        <f>J111+J139+J191</f>
        <v>201330.15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2667800.33+0.34*615634.59+8161.83</f>
        <v>2885277.9206000003</v>
      </c>
      <c r="G196" s="18">
        <f>659346.51+(16.38%*6505908.67)</f>
        <v>1725014.350146</v>
      </c>
      <c r="H196" s="18">
        <f>4946.84+45988.17+662+600.19+7378+0.34*133881.85</f>
        <v>105095.02900000001</v>
      </c>
      <c r="I196" s="18">
        <f>126756.17+6505.45+1581.79+104+4409.82+391</f>
        <v>139748.23000000001</v>
      </c>
      <c r="J196" s="18">
        <f>14172.39+1688.58+2717+25906.87</f>
        <v>44484.84</v>
      </c>
      <c r="K196" s="18">
        <f>250</f>
        <v>250</v>
      </c>
      <c r="L196" s="19">
        <f>SUM(F196:K196)</f>
        <v>4899870.3697460005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1173243.56+0.34*1294357.24</f>
        <v>1613325.0216000001</v>
      </c>
      <c r="G197" s="18">
        <f>429477.66+(8.25%*6505908.67)</f>
        <v>966215.125275</v>
      </c>
      <c r="H197" s="18">
        <f>40568.4+34490.79+55999.37+25335.61+115+1300+360+90+720+46.99+250+0.31*43749.82</f>
        <v>172838.60419999997</v>
      </c>
      <c r="I197" s="18">
        <f>5581.74+867.11+235.17+20472.08</f>
        <v>27156.100000000002</v>
      </c>
      <c r="J197" s="18">
        <f>283.35+2915.5</f>
        <v>3198.85</v>
      </c>
      <c r="K197" s="18">
        <f>3333.36</f>
        <v>3333.36</v>
      </c>
      <c r="L197" s="19">
        <f>SUM(F197:K197)</f>
        <v>2786067.0610750001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7500</f>
        <v>7500</v>
      </c>
      <c r="G199" s="18">
        <f>F199*7.65%</f>
        <v>573.75</v>
      </c>
      <c r="H199" s="18">
        <f>3540.75</f>
        <v>3540.75</v>
      </c>
      <c r="I199" s="18">
        <f>919.12</f>
        <v>919.12</v>
      </c>
      <c r="J199" s="18"/>
      <c r="K199" s="18"/>
      <c r="L199" s="19">
        <f>SUM(F199:K199)</f>
        <v>12533.62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136764.31+192567+41596.15+0.34*175559.27</f>
        <v>430617.61180000001</v>
      </c>
      <c r="G201" s="18">
        <f>41097+(2.17%*6505908.67)</f>
        <v>182275.218139</v>
      </c>
      <c r="H201" s="18">
        <f>966.36+1265.26+47158</f>
        <v>49389.62</v>
      </c>
      <c r="I201" s="18">
        <f>615.53+239.5+71.35+4459.49+100+2040</f>
        <v>7525.87</v>
      </c>
      <c r="J201" s="18">
        <f>800+5440</f>
        <v>6240</v>
      </c>
      <c r="K201" s="18"/>
      <c r="L201" s="19">
        <f t="shared" ref="L201:L207" si="0">SUM(F201:K201)</f>
        <v>676048.31993900007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160066.5+0.34*(62818.7+226380.16)</f>
        <v>258394.11239999998</v>
      </c>
      <c r="G202" s="18">
        <f>47518.38+(1.31%*6505908.67)</f>
        <v>132745.78357699999</v>
      </c>
      <c r="H202" s="18">
        <f>18141.31+163.49+58401.8</f>
        <v>76706.600000000006</v>
      </c>
      <c r="I202" s="18">
        <f>604.17+7586.83+1208.26+194.94+112881.7</f>
        <v>122475.9</v>
      </c>
      <c r="J202" s="18">
        <f>235.23</f>
        <v>235.23</v>
      </c>
      <c r="K202" s="18"/>
      <c r="L202" s="19">
        <f t="shared" si="0"/>
        <v>590557.62597699999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0.34*(2500+811347.99+256560.91)</f>
        <v>363939.02600000001</v>
      </c>
      <c r="G203" s="18">
        <f>1.85%*6505908.67</f>
        <v>120359.31039500002</v>
      </c>
      <c r="H203" s="18">
        <f>93755</f>
        <v>93755</v>
      </c>
      <c r="I203" s="18">
        <f>57834</f>
        <v>57834</v>
      </c>
      <c r="J203" s="18"/>
      <c r="K203" s="18">
        <f>7735</f>
        <v>7735</v>
      </c>
      <c r="L203" s="19">
        <f t="shared" si="0"/>
        <v>643622.33639500011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673176.08</f>
        <v>673176.08</v>
      </c>
      <c r="G204" s="18">
        <f>3.35%*6505908.67</f>
        <v>217947.94044500001</v>
      </c>
      <c r="H204" s="18">
        <f>30471.61+2081.19+147.95+3416.95</f>
        <v>36117.699999999997</v>
      </c>
      <c r="I204" s="18">
        <f>932.78+138+138+13261.06</f>
        <v>14469.84</v>
      </c>
      <c r="J204" s="18"/>
      <c r="K204" s="18">
        <f>6674.51+5939.56</f>
        <v>12614.07</v>
      </c>
      <c r="L204" s="19">
        <f t="shared" si="0"/>
        <v>954325.63044499978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47046.46+0.34*(355038.95+34110.11)</f>
        <v>179357.1404</v>
      </c>
      <c r="G206" s="18">
        <f>12177.48+0.0092*6505908.67</f>
        <v>72031.839764000004</v>
      </c>
      <c r="H206" s="18">
        <f>417858.74+8283.61+23.97+13150+1855.44+15252.71+14556.78+19794.1+8868.78+55630+12359.53+226.93+72547.16</f>
        <v>640407.75000000012</v>
      </c>
      <c r="I206" s="18">
        <f>35942.01+134498.38+176572.02+110500</f>
        <v>457512.41000000003</v>
      </c>
      <c r="J206" s="18"/>
      <c r="K206" s="18"/>
      <c r="L206" s="19">
        <f t="shared" si="0"/>
        <v>1349309.140164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612281.03</f>
        <v>612281.03</v>
      </c>
      <c r="I207" s="18"/>
      <c r="J207" s="18"/>
      <c r="K207" s="18"/>
      <c r="L207" s="19">
        <f t="shared" si="0"/>
        <v>612281.03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0.34*53015</f>
        <v>18025.100000000002</v>
      </c>
      <c r="G208" s="18"/>
      <c r="H208" s="18"/>
      <c r="I208" s="18"/>
      <c r="J208" s="18"/>
      <c r="K208" s="18"/>
      <c r="L208" s="19">
        <f>SUM(F208:K208)</f>
        <v>18025.100000000002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6429612.0127999997</v>
      </c>
      <c r="G210" s="41">
        <f t="shared" si="1"/>
        <v>3417163.3177410001</v>
      </c>
      <c r="H210" s="41">
        <f t="shared" si="1"/>
        <v>1790132.0832</v>
      </c>
      <c r="I210" s="41">
        <f t="shared" si="1"/>
        <v>827641.47</v>
      </c>
      <c r="J210" s="41">
        <f t="shared" si="1"/>
        <v>54158.92</v>
      </c>
      <c r="K210" s="41">
        <f t="shared" si="1"/>
        <v>23932.43</v>
      </c>
      <c r="L210" s="41">
        <f t="shared" si="1"/>
        <v>12542640.233741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2959572.94+0.31*615634.59</f>
        <v>3150419.6628999999</v>
      </c>
      <c r="G214" s="18">
        <f>749930.06+(15.84%*6505908.67)</f>
        <v>1780465.993328</v>
      </c>
      <c r="H214" s="18">
        <f>6026.56+40626.22+6727+0.31*133881.85</f>
        <v>94883.1535</v>
      </c>
      <c r="I214" s="18">
        <f>78902.78+12629.08+1525.44+344.95+11864.15+356.5</f>
        <v>105622.9</v>
      </c>
      <c r="J214" s="18">
        <f>44393.83+41184.75+15195.39</f>
        <v>100773.97</v>
      </c>
      <c r="K214" s="18">
        <f>818.85</f>
        <v>818.85</v>
      </c>
      <c r="L214" s="19">
        <f>SUM(F214:K214)</f>
        <v>5232984.5297280001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740112.22+0.31*1294357.24</f>
        <v>1141362.9643999999</v>
      </c>
      <c r="G215" s="18">
        <f>294406.08+5.89%*6505908.67</f>
        <v>677604.10066300002</v>
      </c>
      <c r="H215" s="18">
        <f>256077.03+0.34*43744.82</f>
        <v>270950.26880000002</v>
      </c>
      <c r="I215" s="18">
        <f>1190.45+311.82+61.08+102.15+18665.72</f>
        <v>20331.22</v>
      </c>
      <c r="J215" s="18">
        <f>2658.25</f>
        <v>2658.25</v>
      </c>
      <c r="K215" s="18">
        <f>3039.24</f>
        <v>3039.24</v>
      </c>
      <c r="L215" s="19">
        <f>SUM(F215:K215)</f>
        <v>2115946.0438630003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f>114516.5+99336.5</f>
        <v>213853</v>
      </c>
      <c r="G216" s="18">
        <f>1.07%*6505908.67</f>
        <v>69613.222769</v>
      </c>
      <c r="H216" s="18">
        <f>1187.4+500+1288.59+179.59</f>
        <v>3155.58</v>
      </c>
      <c r="I216" s="18">
        <f>5685.06+141.83+7866.12</f>
        <v>13693.01</v>
      </c>
      <c r="J216" s="18"/>
      <c r="K216" s="18"/>
      <c r="L216" s="19">
        <f>SUM(F216:K216)</f>
        <v>300314.81276900001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113342.89</f>
        <v>113342.89</v>
      </c>
      <c r="G217" s="18">
        <f>0.0055*6505908.67</f>
        <v>35782.497684999995</v>
      </c>
      <c r="H217" s="18">
        <f>15064.8+131.33</f>
        <v>15196.13</v>
      </c>
      <c r="I217" s="18">
        <f>15219.73</f>
        <v>15219.73</v>
      </c>
      <c r="J217" s="18">
        <f>1952.44</f>
        <v>1952.44</v>
      </c>
      <c r="K217" s="18">
        <f>7667+130.25</f>
        <v>7797.25</v>
      </c>
      <c r="L217" s="19">
        <f>SUM(F217:K217)</f>
        <v>189290.93768500001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159048.5+121681.12+0.31*175559.27</f>
        <v>335152.99369999999</v>
      </c>
      <c r="G219" s="18">
        <f>30180.57+30180.57+0.0167*6505908.67</f>
        <v>169009.814789</v>
      </c>
      <c r="H219" s="18">
        <f>112.32+300+(0.31*29009.5)+42997</f>
        <v>52402.264999999999</v>
      </c>
      <c r="I219" s="18">
        <f>674.69+88.89+1576.3+164.95+230.8+1860</f>
        <v>4595.63</v>
      </c>
      <c r="J219" s="18">
        <f>4960</f>
        <v>4960</v>
      </c>
      <c r="K219" s="18"/>
      <c r="L219" s="19">
        <f t="shared" ref="L219:L225" si="2">SUM(F219:K219)</f>
        <v>566120.70348899998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110635.5+0.31*(226380.16+62818.76)</f>
        <v>200287.16519999999</v>
      </c>
      <c r="G220" s="18">
        <f>30180.57+0.01*6505908.67</f>
        <v>95239.656699999992</v>
      </c>
      <c r="H220" s="18">
        <f>1000+4714.86+53248.7</f>
        <v>58963.56</v>
      </c>
      <c r="I220" s="18">
        <f>1084.89+9630.82+2719.6+760.84+6670.07+102921.55</f>
        <v>123787.77</v>
      </c>
      <c r="J220" s="18"/>
      <c r="K220" s="18">
        <f>7052.5</f>
        <v>7052.5</v>
      </c>
      <c r="L220" s="19">
        <f t="shared" si="2"/>
        <v>485330.6519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0.31*(811347.99+256560.91)+1075.01</f>
        <v>332126.76899999997</v>
      </c>
      <c r="G221" s="18">
        <f>1.76%*6505908.67</f>
        <v>114503.99259200001</v>
      </c>
      <c r="H221" s="18">
        <f>85482.5</f>
        <v>85482.5</v>
      </c>
      <c r="I221" s="18">
        <f>52731</f>
        <v>52731</v>
      </c>
      <c r="J221" s="18"/>
      <c r="K221" s="18"/>
      <c r="L221" s="19">
        <f t="shared" si="2"/>
        <v>584844.26159200002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427879.46</f>
        <v>427879.46</v>
      </c>
      <c r="G222" s="18">
        <f>93766.68+0.0213*6505908.67</f>
        <v>232342.534671</v>
      </c>
      <c r="H222" s="18">
        <f>17211.07+2469.07+10839.27+4206.88+3053.74+1290.27</f>
        <v>39070.299999999996</v>
      </c>
      <c r="I222" s="18">
        <f>3698.16+1419.42+69</f>
        <v>5186.58</v>
      </c>
      <c r="J222" s="18">
        <f>1149+908.16</f>
        <v>2057.16</v>
      </c>
      <c r="K222" s="18">
        <f>7914+9390.28</f>
        <v>17304.28</v>
      </c>
      <c r="L222" s="19">
        <f t="shared" si="2"/>
        <v>723840.31467100012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193427.83+0.31*(355038.95+34110.11)</f>
        <v>314064.03859999997</v>
      </c>
      <c r="G224" s="18">
        <f>64926.82+0.0157*6505908.67</f>
        <v>167069.58611899999</v>
      </c>
      <c r="H224" s="18">
        <f>82832.43+16441.04+9219+34423.6+16098.31+6635.88+3252.43+18733.01+34183+9791.34+188.69+66145.94</f>
        <v>297944.67000000004</v>
      </c>
      <c r="I224" s="18">
        <f>29873.05+121836.4+4072.94+140070.71+100750</f>
        <v>396603.1</v>
      </c>
      <c r="J224" s="18"/>
      <c r="K224" s="18"/>
      <c r="L224" s="19">
        <f t="shared" si="2"/>
        <v>1175681.394719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712153.48</f>
        <v>712153.48</v>
      </c>
      <c r="I225" s="18"/>
      <c r="J225" s="18"/>
      <c r="K225" s="18"/>
      <c r="L225" s="19">
        <f t="shared" si="2"/>
        <v>712153.48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0.31*53015</f>
        <v>16434.650000000001</v>
      </c>
      <c r="G226" s="18"/>
      <c r="H226" s="18"/>
      <c r="I226" s="18"/>
      <c r="J226" s="18"/>
      <c r="K226" s="18"/>
      <c r="L226" s="19">
        <f>SUM(F226:K226)</f>
        <v>16434.650000000001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6244923.5937999999</v>
      </c>
      <c r="G228" s="41">
        <f>SUM(G214:G227)</f>
        <v>3341631.3993160003</v>
      </c>
      <c r="H228" s="41">
        <f>SUM(H214:H227)</f>
        <v>1630201.9073000001</v>
      </c>
      <c r="I228" s="41">
        <f>SUM(I214:I227)</f>
        <v>737770.94</v>
      </c>
      <c r="J228" s="41">
        <f>SUM(J214:J227)</f>
        <v>112401.82</v>
      </c>
      <c r="K228" s="41">
        <f t="shared" si="3"/>
        <v>36012.119999999995</v>
      </c>
      <c r="L228" s="41">
        <f t="shared" si="3"/>
        <v>12102941.780416002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2361230.27+0.35*615634.59</f>
        <v>2576702.3764999998</v>
      </c>
      <c r="G232" s="18">
        <f>549745.29+12.98%*6505908.67+4191.91</f>
        <v>1398404.1453659998</v>
      </c>
      <c r="H232" s="18">
        <f>22398+41314.82+1100+749.09+7595+0.35*133881.85</f>
        <v>120015.5575</v>
      </c>
      <c r="I232" s="18">
        <f>77586.96+200+29676.22+849.23+2131.15+10603.6+402.5</f>
        <v>121449.66</v>
      </c>
      <c r="J232" s="18">
        <f>600+114816.44+34873.98+23427.14+34757.12</f>
        <v>208474.68</v>
      </c>
      <c r="K232" s="18">
        <f>1697.52+3431.4</f>
        <v>5128.92</v>
      </c>
      <c r="L232" s="19">
        <f>SUM(F232:K232)</f>
        <v>4430175.3393659992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684416.22+593202.17+0.35*1294357.24</f>
        <v>1730643.4240000001</v>
      </c>
      <c r="G233" s="18">
        <f>194434.65+8.76%*6505908.67</f>
        <v>764352.24949199997</v>
      </c>
      <c r="H233" s="18">
        <f>1026088.01+0.35*43749.82+1.7</f>
        <v>1041402.147</v>
      </c>
      <c r="I233" s="18">
        <f>1732.83+1703.2+329.5+2043.06+204.88+181.88+179.9+21074.2</f>
        <v>27449.45</v>
      </c>
      <c r="J233" s="18">
        <f>3001.25</f>
        <v>3001.25</v>
      </c>
      <c r="K233" s="18"/>
      <c r="L233" s="19">
        <f>SUM(F233:K233)</f>
        <v>3566848.520492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39944.56+53751+155404+53775.87+48344+60653+53392.5+60522</f>
        <v>525786.92999999993</v>
      </c>
      <c r="G234" s="18">
        <f>2.65%*6505908.67</f>
        <v>172406.57975499998</v>
      </c>
      <c r="H234" s="18">
        <f>2278.98+19588.98</f>
        <v>21867.96</v>
      </c>
      <c r="I234" s="18">
        <f>1949.39+145.54+6229.41+4118.42+1504.8+507.18+2397.4+1066.78+1516.68+3393.15+1718.95+1591.65+666.65</f>
        <v>26806.000000000004</v>
      </c>
      <c r="J234" s="18">
        <f>2065.46+1591.65</f>
        <v>3657.11</v>
      </c>
      <c r="K234" s="18"/>
      <c r="L234" s="19">
        <f>SUM(F234:K234)</f>
        <v>750524.57975499984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311549.45</f>
        <v>311549.45</v>
      </c>
      <c r="G235" s="18">
        <f>32676.32+0.0157*6505908.67</f>
        <v>134819.08611899999</v>
      </c>
      <c r="H235" s="18">
        <f>80496+13296.12+7532.16</f>
        <v>101324.28</v>
      </c>
      <c r="I235" s="18">
        <f>19106.57</f>
        <v>19106.57</v>
      </c>
      <c r="J235" s="18">
        <f>21935.85+15537.91</f>
        <v>37473.759999999995</v>
      </c>
      <c r="K235" s="18">
        <f>37432.96+15734.34</f>
        <v>53167.3</v>
      </c>
      <c r="L235" s="19">
        <f>SUM(F235:K235)</f>
        <v>657440.44611899997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437219.28+74424.47+0.35*175559.27</f>
        <v>573089.49450000003</v>
      </c>
      <c r="G237" s="18">
        <f>126468.33+34675.62+0.0286*6505908.67</f>
        <v>347212.93796200003</v>
      </c>
      <c r="H237" s="18">
        <f>340.47+7269.6+(0.35*29009.5)+60119.5</f>
        <v>77882.895000000004</v>
      </c>
      <c r="I237" s="18">
        <f>1278.48+244.99+166.79+7684.58+2775.02+169.95+2100</f>
        <v>14419.810000000001</v>
      </c>
      <c r="J237" s="18">
        <f>2115.96+471+5600</f>
        <v>8186.96</v>
      </c>
      <c r="K237" s="18">
        <f>1044.35</f>
        <v>1044.3499999999999</v>
      </c>
      <c r="L237" s="19">
        <f t="shared" ref="L237:L243" si="4">SUM(F237:K237)</f>
        <v>1021836.4474620001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74430.41+0.35*(226380.18+62818.76)</f>
        <v>175650.03899999999</v>
      </c>
      <c r="G238" s="18">
        <f>0.0088*6505908.67</f>
        <v>57251.996296000005</v>
      </c>
      <c r="H238" s="18">
        <f>6209.78</f>
        <v>6209.78</v>
      </c>
      <c r="I238" s="18">
        <f>1836.71+14318.06+11267.65+737.3+116201.75</f>
        <v>144361.47</v>
      </c>
      <c r="J238" s="18">
        <f>4900+486.55</f>
        <v>5386.55</v>
      </c>
      <c r="K238" s="18"/>
      <c r="L238" s="19">
        <f t="shared" si="4"/>
        <v>388859.83529599995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0.35*(2500+811347.99+256560.91)</f>
        <v>374643.11499999993</v>
      </c>
      <c r="G239" s="18">
        <f>1.87%*6505908.62</f>
        <v>121660.49119400002</v>
      </c>
      <c r="H239" s="18">
        <f>96512.5</f>
        <v>96512.5</v>
      </c>
      <c r="I239" s="18">
        <f>59535</f>
        <v>59535</v>
      </c>
      <c r="J239" s="18"/>
      <c r="K239" s="18">
        <f>7962.5</f>
        <v>7962.5</v>
      </c>
      <c r="L239" s="19">
        <f t="shared" si="4"/>
        <v>660313.60619399999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457199.77+222477.4</f>
        <v>679677.17</v>
      </c>
      <c r="G240" s="18">
        <f>56016.52+28617.12+0.0339*6505908.67</f>
        <v>305183.943913</v>
      </c>
      <c r="H240" s="18">
        <f>15449.87+11011.25+4073.07+464.34+19588.98+1229.1</f>
        <v>51816.61</v>
      </c>
      <c r="I240" s="18">
        <f>960.97+351.9+60.49</f>
        <v>1373.36</v>
      </c>
      <c r="J240" s="18"/>
      <c r="K240" s="18">
        <f>8072.52+13933.45+1500</f>
        <v>23505.97</v>
      </c>
      <c r="L240" s="19">
        <f t="shared" si="4"/>
        <v>1061557.053913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250467.25+90680.85+0.35*(355038.95+34110.11)</f>
        <v>477350.27099999995</v>
      </c>
      <c r="G242" s="18">
        <f>61290.94+0.0239*6505908.67</f>
        <v>216782.157213</v>
      </c>
      <c r="H242" s="18">
        <f>52462.24+24560.5+1499.44+13556.68+90771.63+25298.75+27766.59+31018.28+119011.2+3100+24275+63754.23+9554.82+74680.3</f>
        <v>561309.66</v>
      </c>
      <c r="I242" s="18">
        <f>45967.64+160479.74+11260.13+146858.52+778.64+1103.1+113750</f>
        <v>480197.77</v>
      </c>
      <c r="J242" s="18"/>
      <c r="K242" s="18"/>
      <c r="L242" s="19">
        <f t="shared" si="4"/>
        <v>1735639.858213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755032.12</f>
        <v>755032.12</v>
      </c>
      <c r="I243" s="18"/>
      <c r="J243" s="18"/>
      <c r="K243" s="18"/>
      <c r="L243" s="19">
        <f t="shared" si="4"/>
        <v>755032.12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0.35*53015</f>
        <v>18555.25</v>
      </c>
      <c r="G244" s="18"/>
      <c r="H244" s="18">
        <f>11218.37</f>
        <v>11218.37</v>
      </c>
      <c r="I244" s="18"/>
      <c r="J244" s="18"/>
      <c r="K244" s="18"/>
      <c r="L244" s="19">
        <f>SUM(F244:K244)</f>
        <v>29773.620000000003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7443647.5199999996</v>
      </c>
      <c r="G246" s="41">
        <f t="shared" si="5"/>
        <v>3518073.5873100003</v>
      </c>
      <c r="H246" s="41">
        <f t="shared" si="5"/>
        <v>2844591.8795000003</v>
      </c>
      <c r="I246" s="41">
        <f t="shared" si="5"/>
        <v>894699.09000000008</v>
      </c>
      <c r="J246" s="41">
        <f t="shared" si="5"/>
        <v>266180.31</v>
      </c>
      <c r="K246" s="41">
        <f t="shared" si="5"/>
        <v>90809.040000000008</v>
      </c>
      <c r="L246" s="41">
        <f t="shared" si="5"/>
        <v>15058001.426809996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20118183.126599997</v>
      </c>
      <c r="G256" s="41">
        <f t="shared" si="8"/>
        <v>10276868.304367002</v>
      </c>
      <c r="H256" s="41">
        <f t="shared" si="8"/>
        <v>6264925.870000001</v>
      </c>
      <c r="I256" s="41">
        <f t="shared" si="8"/>
        <v>2460111.5</v>
      </c>
      <c r="J256" s="41">
        <f t="shared" si="8"/>
        <v>432741.05</v>
      </c>
      <c r="K256" s="41">
        <f t="shared" si="8"/>
        <v>150753.59</v>
      </c>
      <c r="L256" s="41">
        <f t="shared" si="8"/>
        <v>39703583.440967001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986750.8</f>
        <v>986750.8</v>
      </c>
      <c r="L259" s="19">
        <f>SUM(F259:K259)</f>
        <v>986750.8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536908.33</f>
        <v>536908.32999999996</v>
      </c>
      <c r="L260" s="19">
        <f>SUM(F260:K260)</f>
        <v>536908.32999999996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G178</f>
        <v>281829.66000000003</v>
      </c>
      <c r="L262" s="19">
        <f>SUM(F262:K262)</f>
        <v>281829.66000000003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200000</v>
      </c>
      <c r="L265" s="19">
        <f t="shared" si="9"/>
        <v>200000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2005488.79</v>
      </c>
      <c r="L269" s="41">
        <f t="shared" si="9"/>
        <v>2005488.79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20118183.126599997</v>
      </c>
      <c r="G270" s="42">
        <f t="shared" si="11"/>
        <v>10276868.304367002</v>
      </c>
      <c r="H270" s="42">
        <f t="shared" si="11"/>
        <v>6264925.870000001</v>
      </c>
      <c r="I270" s="42">
        <f t="shared" si="11"/>
        <v>2460111.5</v>
      </c>
      <c r="J270" s="42">
        <f t="shared" si="11"/>
        <v>432741.05</v>
      </c>
      <c r="K270" s="42">
        <f t="shared" si="11"/>
        <v>2156242.38</v>
      </c>
      <c r="L270" s="42">
        <f t="shared" si="11"/>
        <v>41709072.230967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168988.75+25000+980+9818.1+1734.38</f>
        <v>206521.23</v>
      </c>
      <c r="G275" s="18">
        <f>36585.03+1308.56+243+372.45+14366.63+20041.22+68.81+106.8+20.65+751.08+1109.45+132.68+195.98</f>
        <v>75302.339999999967</v>
      </c>
      <c r="H275" s="18">
        <f>58800.99+3483.9+1218.76</f>
        <v>63503.65</v>
      </c>
      <c r="I275" s="18">
        <f>242.83+348.8+10142.69</f>
        <v>10734.32</v>
      </c>
      <c r="J275" s="18">
        <v>10000</v>
      </c>
      <c r="K275" s="18">
        <f>572.94</f>
        <v>572.94000000000005</v>
      </c>
      <c r="L275" s="19">
        <f>SUM(F275:K275)</f>
        <v>366634.48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(0.3*127048.76)+6310.3+(0.3*115115.5)+46139+3000</f>
        <v>128098.57800000001</v>
      </c>
      <c r="G276" s="18">
        <f>0.3*(41097+1309.14+243+280.04+9948.09+15068.96)+0.32*(47518.38+1309.14+243+8533.44+13008.05)+0.32*(38119.89+959.53+178.2+121.75+4270.45+4060.24+1337.33)+0.3*9148.41+0.3*5672.01</f>
        <v>63121.003000000004</v>
      </c>
      <c r="H276" s="18">
        <f>2000+352.43+2400+10800+0.3*3028.37+0.3*6167.86</f>
        <v>18311.298999999999</v>
      </c>
      <c r="I276" s="18">
        <f>599.45+0.3*2000</f>
        <v>1199.45</v>
      </c>
      <c r="J276" s="18">
        <f>0.3*9810</f>
        <v>2943</v>
      </c>
      <c r="K276" s="18"/>
      <c r="L276" s="19">
        <f>SUM(F276:K276)</f>
        <v>213673.33000000002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3200</v>
      </c>
      <c r="G280" s="18">
        <f>244.8+249.58</f>
        <v>494.38</v>
      </c>
      <c r="H280" s="18">
        <v>1334.2</v>
      </c>
      <c r="I280" s="18"/>
      <c r="J280" s="18"/>
      <c r="K280" s="18">
        <f>891.9</f>
        <v>891.9</v>
      </c>
      <c r="L280" s="19">
        <f t="shared" ref="L280:L286" si="12">SUM(F280:K280)</f>
        <v>5920.48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1700+5700+623.05+20300+186.92+7301.79+0.3*5335+0.3*8500</f>
        <v>39962.259999999995</v>
      </c>
      <c r="I281" s="18"/>
      <c r="J281" s="18"/>
      <c r="K281" s="18"/>
      <c r="L281" s="19">
        <f t="shared" si="12"/>
        <v>39962.259999999995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f>4500</f>
        <v>4500</v>
      </c>
      <c r="G283" s="18">
        <f>9.45+310.14+508.43</f>
        <v>828.02</v>
      </c>
      <c r="H283" s="18"/>
      <c r="I283" s="18"/>
      <c r="J283" s="18"/>
      <c r="K283" s="18"/>
      <c r="L283" s="19">
        <f t="shared" si="12"/>
        <v>5328.02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342319.80800000002</v>
      </c>
      <c r="G289" s="42">
        <f t="shared" si="13"/>
        <v>139745.74299999996</v>
      </c>
      <c r="H289" s="42">
        <f t="shared" si="13"/>
        <v>123111.40899999999</v>
      </c>
      <c r="I289" s="42">
        <f t="shared" si="13"/>
        <v>11933.77</v>
      </c>
      <c r="J289" s="42">
        <f t="shared" si="13"/>
        <v>12943</v>
      </c>
      <c r="K289" s="42">
        <f t="shared" si="13"/>
        <v>1464.8400000000001</v>
      </c>
      <c r="L289" s="41">
        <f t="shared" si="13"/>
        <v>631518.57000000007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22811.6</f>
        <v>22811.599999999999</v>
      </c>
      <c r="G294" s="18">
        <f>1745.09+3230.13</f>
        <v>4975.22</v>
      </c>
      <c r="H294" s="18">
        <f>12905.5+2617.42+964.32+1347.58</f>
        <v>17834.82</v>
      </c>
      <c r="I294" s="18">
        <f>200</f>
        <v>200</v>
      </c>
      <c r="J294" s="18"/>
      <c r="K294" s="18"/>
      <c r="L294" s="19">
        <f>SUM(F294:K294)</f>
        <v>45821.64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0.32*127048.76+0.32*115115.5+3000</f>
        <v>80492.563200000004</v>
      </c>
      <c r="G295" s="18">
        <f>0.32*(41097+1309.14+243+280.04+9948.09+15068.96)+0.3*(47518.38+1309.14+243+241.75+8533.44+13008.05)+0.32*9148.41+(0.32*5672.01)</f>
        <v>47741.455999999998</v>
      </c>
      <c r="H295" s="18">
        <f>1686.32+7038+10259.33+2000+0.32*3028.57+0.32*6167.86</f>
        <v>23926.507600000001</v>
      </c>
      <c r="I295" s="18">
        <f>2168.25+0.32*2000</f>
        <v>2808.25</v>
      </c>
      <c r="J295" s="18">
        <f>6200+0.32*9810</f>
        <v>9339.2000000000007</v>
      </c>
      <c r="K295" s="18"/>
      <c r="L295" s="19">
        <f>SUM(F295:K295)</f>
        <v>164307.97680000003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8150.5+17991+0.32*5335+0.32*8500</f>
        <v>30568.7</v>
      </c>
      <c r="I300" s="18">
        <f>538.77</f>
        <v>538.77</v>
      </c>
      <c r="J300" s="18"/>
      <c r="K300" s="18"/>
      <c r="L300" s="19">
        <f t="shared" si="14"/>
        <v>31107.47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103304.16320000001</v>
      </c>
      <c r="G308" s="42">
        <f t="shared" si="15"/>
        <v>52716.675999999999</v>
      </c>
      <c r="H308" s="42">
        <f t="shared" si="15"/>
        <v>72330.027600000001</v>
      </c>
      <c r="I308" s="42">
        <f t="shared" si="15"/>
        <v>3547.02</v>
      </c>
      <c r="J308" s="42">
        <f t="shared" si="15"/>
        <v>9339.2000000000007</v>
      </c>
      <c r="K308" s="42">
        <f t="shared" si="15"/>
        <v>0</v>
      </c>
      <c r="L308" s="41">
        <f t="shared" si="15"/>
        <v>241237.08680000002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13928</v>
      </c>
      <c r="G313" s="18">
        <f>2500+29.25+1065.49+1573.86</f>
        <v>5168.5999999999995</v>
      </c>
      <c r="H313" s="18">
        <f>191.25+354</f>
        <v>545.25</v>
      </c>
      <c r="I313" s="18"/>
      <c r="J313" s="18"/>
      <c r="K313" s="18"/>
      <c r="L313" s="19">
        <f>SUM(F313:K313)</f>
        <v>19641.849999999999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127048.76+115115.5-F276-F295+11834+4000+2214.65+51924.37</f>
        <v>103546.1388</v>
      </c>
      <c r="G314" s="18">
        <f>(41097+1309.14+243+280.04+9948.09+15068.96)-G276-G295+(47518.38+1309.14+243+241.75+8533.44+13008.05)+765+169.4+250.24+631.88+422.3+127.88+0.38*9148.41+0.38*5672.01+3516.65</f>
        <v>39452.640600000006</v>
      </c>
      <c r="H314" s="18">
        <f>16546+2000+0.38*3028.37+0.38*6167.86</f>
        <v>22040.5674</v>
      </c>
      <c r="I314" s="18">
        <f>2010.95+0.38*2000</f>
        <v>2770.95</v>
      </c>
      <c r="J314" s="18">
        <f>0.38*9810+341</f>
        <v>4068.8</v>
      </c>
      <c r="K314" s="18"/>
      <c r="L314" s="19">
        <f>SUM(F314:K314)</f>
        <v>171879.0968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f>929.4+124.08+1006.8+2000+2881.69+621+129.28</f>
        <v>7692.2499999999991</v>
      </c>
      <c r="I315" s="18">
        <f>480+1025+663.07+301.28+2100+6690.8</f>
        <v>11260.150000000001</v>
      </c>
      <c r="J315" s="18">
        <f>6280.02+37678.24+849+17040+1106.45</f>
        <v>62953.709999999992</v>
      </c>
      <c r="K315" s="18">
        <f>2758</f>
        <v>2758</v>
      </c>
      <c r="L315" s="19">
        <f>SUM(F315:K315)</f>
        <v>84664.109999999986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159.12</f>
        <v>159.12</v>
      </c>
      <c r="I318" s="18"/>
      <c r="J318" s="18"/>
      <c r="K318" s="18"/>
      <c r="L318" s="19">
        <f t="shared" ref="L318:L324" si="16">SUM(F318:K318)</f>
        <v>159.12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0.38*5335+0.38*8500</f>
        <v>5257.3</v>
      </c>
      <c r="I319" s="18"/>
      <c r="J319" s="18"/>
      <c r="K319" s="18"/>
      <c r="L319" s="19">
        <f t="shared" si="16"/>
        <v>5257.3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>
        <v>1523.78</v>
      </c>
      <c r="I322" s="18"/>
      <c r="J322" s="18"/>
      <c r="K322" s="18"/>
      <c r="L322" s="19">
        <f t="shared" si="16"/>
        <v>1523.78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2555.82</f>
        <v>2555.8200000000002</v>
      </c>
      <c r="I324" s="18"/>
      <c r="J324" s="18"/>
      <c r="K324" s="18"/>
      <c r="L324" s="19">
        <f t="shared" si="16"/>
        <v>2555.8200000000002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117474.1388</v>
      </c>
      <c r="G327" s="42">
        <f t="shared" si="17"/>
        <v>44621.240600000005</v>
      </c>
      <c r="H327" s="42">
        <f t="shared" si="17"/>
        <v>39774.087399999997</v>
      </c>
      <c r="I327" s="42">
        <f t="shared" si="17"/>
        <v>14031.100000000002</v>
      </c>
      <c r="J327" s="42">
        <f t="shared" si="17"/>
        <v>67022.509999999995</v>
      </c>
      <c r="K327" s="42">
        <f t="shared" si="17"/>
        <v>2758</v>
      </c>
      <c r="L327" s="41">
        <f t="shared" si="17"/>
        <v>285681.07680000004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9200</f>
        <v>9200</v>
      </c>
      <c r="G332" s="18">
        <f>19.32+703.8+836.2</f>
        <v>1559.3200000000002</v>
      </c>
      <c r="H332" s="18">
        <f>200</f>
        <v>200</v>
      </c>
      <c r="I332" s="18"/>
      <c r="J332" s="18"/>
      <c r="K332" s="18"/>
      <c r="L332" s="19">
        <f t="shared" si="18"/>
        <v>10959.32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>
        <v>12868.44</v>
      </c>
      <c r="L334" s="19">
        <f t="shared" si="18"/>
        <v>12868.44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9200</v>
      </c>
      <c r="G336" s="41">
        <f t="shared" si="19"/>
        <v>1559.3200000000002</v>
      </c>
      <c r="H336" s="41">
        <f t="shared" si="19"/>
        <v>200</v>
      </c>
      <c r="I336" s="41">
        <f t="shared" si="19"/>
        <v>0</v>
      </c>
      <c r="J336" s="41">
        <f t="shared" si="19"/>
        <v>0</v>
      </c>
      <c r="K336" s="41">
        <f t="shared" si="19"/>
        <v>12868.44</v>
      </c>
      <c r="L336" s="41">
        <f t="shared" si="18"/>
        <v>23827.760000000002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572298.11</v>
      </c>
      <c r="G337" s="41">
        <f t="shared" si="20"/>
        <v>238642.97959999996</v>
      </c>
      <c r="H337" s="41">
        <f t="shared" si="20"/>
        <v>235415.52399999998</v>
      </c>
      <c r="I337" s="41">
        <f t="shared" si="20"/>
        <v>29511.890000000003</v>
      </c>
      <c r="J337" s="41">
        <f t="shared" si="20"/>
        <v>89304.709999999992</v>
      </c>
      <c r="K337" s="41">
        <f t="shared" si="20"/>
        <v>17091.28</v>
      </c>
      <c r="L337" s="41">
        <f t="shared" si="20"/>
        <v>1182264.4936000002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1937.16+395.26+2299.5+17060.45+182.84+9873.36+4294.98+39.54+55.25+757.07+581.67</f>
        <v>37477.08</v>
      </c>
      <c r="L343" s="19">
        <f t="shared" ref="L343:L349" si="21">SUM(F343:K343)</f>
        <v>37477.08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37477.08</v>
      </c>
      <c r="L350" s="41">
        <f>SUM(L340:L349)</f>
        <v>37477.08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572298.11</v>
      </c>
      <c r="G351" s="41">
        <f>G337</f>
        <v>238642.97959999996</v>
      </c>
      <c r="H351" s="41">
        <f>H337</f>
        <v>235415.52399999998</v>
      </c>
      <c r="I351" s="41">
        <f>I337</f>
        <v>29511.890000000003</v>
      </c>
      <c r="J351" s="41">
        <f>J337</f>
        <v>89304.709999999992</v>
      </c>
      <c r="K351" s="47">
        <f>K337+K350</f>
        <v>54568.36</v>
      </c>
      <c r="L351" s="41">
        <f>L337+L350</f>
        <v>1219741.5736000002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35303.45+28195.22+0.3*83652.86+0.3*18428.11-0.34*53015</f>
        <v>76097.86099999999</v>
      </c>
      <c r="G357" s="18">
        <f>542.18+1587.6+0.3*7342.44+0.3*9050.55+2698.94+1997.19+45056.76+1309.14</f>
        <v>58109.707000000002</v>
      </c>
      <c r="H357" s="18">
        <f>0.3*869.82+249.85+0.3*1046+1434.98+1652.01+0.3*625.24+0.3*460.07+0.3*182.07+1526.68+2605.52</f>
        <v>8424</v>
      </c>
      <c r="I357" s="18">
        <f>0.3*1429.29+72.87+3851.16+40243.15+6667.59+10535.95+1598.58+51.43+907.66-46.18-2.81-180.28+0.3*14490.78+0.3*542.92+0.3*5326.93</f>
        <v>70236.096000000005</v>
      </c>
      <c r="J357" s="18"/>
      <c r="K357" s="18">
        <f>0.3*460.74+0.3*1426</f>
        <v>566.02200000000005</v>
      </c>
      <c r="L357" s="13">
        <f>SUM(F357:K357)</f>
        <v>213433.68599999999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38602.33+59157+84342.59+0.32*83652.86+0.32*18428.11-0.31*53015</f>
        <v>198333.18039999998</v>
      </c>
      <c r="G358" s="18">
        <f>4066.21+5337.37+0.32*7342.44+0.32*9050.55+4111.76+5655.58+122992.8+4841.74</f>
        <v>152251.21679999999</v>
      </c>
      <c r="H358" s="18">
        <f>0.32*869.82+433.6+410.54+0.32*1045+1357.88+2111.86+0.32*625.24+0.32*460.07+446.14+441.77+0.32*1824.07+42.12+12.87</f>
        <v>6800.5239999999994</v>
      </c>
      <c r="I358" s="18">
        <f>0.32*1439.29+7806.67+9994.69+100315.58+91378.28+7768.22+11176.37+1357.6+1566.6+1468.04+1732.56+1348.04+3196.25-390.28-398.07+0.32*14490.78+0.32*543.92+0.34*5326.93</f>
        <v>245403.383</v>
      </c>
      <c r="J358" s="18">
        <f>3401</f>
        <v>3401</v>
      </c>
      <c r="K358" s="18">
        <f>0.32*460.74+0.32*1426</f>
        <v>603.7568</v>
      </c>
      <c r="L358" s="19">
        <f>SUM(F358:K358)</f>
        <v>606793.06099999999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134045.32+0.38*83652.86+0.38*18428.11-0.35*53015</f>
        <v>154280.83859999999</v>
      </c>
      <c r="G359" s="18">
        <f>8965.39+0.38*7342.44+0.38*9050.55+8907.94+82794.18+3491.04</f>
        <v>110387.88619999999</v>
      </c>
      <c r="H359" s="18">
        <f>0.38*869.82+528.8+0.38*1045+5815.81+0.38*625.24+0.38*460.07+422.82+0.38*1824.07</f>
        <v>8600.6260000000002</v>
      </c>
      <c r="I359" s="18">
        <f>0.38*1436.29+15234.55+175133.08+1355.75+2370.38+1929.1-444.49+(0.38*14490.79)+0.38*543.92+26193.18+13.3+0.36*5326.93</f>
        <v>229961.52480000001</v>
      </c>
      <c r="J359" s="18"/>
      <c r="K359" s="18">
        <f>0.38*460.74+0.38*1426+146</f>
        <v>862.96119999999996</v>
      </c>
      <c r="L359" s="19">
        <f>SUM(F359:K359)</f>
        <v>504093.83679999999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428711.88</v>
      </c>
      <c r="G361" s="47">
        <f t="shared" si="22"/>
        <v>320748.81</v>
      </c>
      <c r="H361" s="47">
        <f t="shared" si="22"/>
        <v>23825.15</v>
      </c>
      <c r="I361" s="47">
        <f t="shared" si="22"/>
        <v>545601.00380000006</v>
      </c>
      <c r="J361" s="47">
        <f t="shared" si="22"/>
        <v>3401</v>
      </c>
      <c r="K361" s="47">
        <f t="shared" si="22"/>
        <v>2032.74</v>
      </c>
      <c r="L361" s="47">
        <f t="shared" si="22"/>
        <v>1324320.5837999999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40243.15+6667.59+10535.95</f>
        <v>57446.69</v>
      </c>
      <c r="G366" s="18">
        <f>100315.58+91378.28+7768.22+11176.37+1357.6+1566.6</f>
        <v>213562.65</v>
      </c>
      <c r="H366" s="18">
        <f>175133.08+26193.18+1355.75</f>
        <v>202682.00999999998</v>
      </c>
      <c r="I366" s="56">
        <f>SUM(F366:H366)</f>
        <v>473691.35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12789.406000000003</v>
      </c>
      <c r="G367" s="63">
        <f>I358-G366</f>
        <v>31840.733000000007</v>
      </c>
      <c r="H367" s="63">
        <f>I359-H366</f>
        <v>27279.514800000034</v>
      </c>
      <c r="I367" s="56">
        <f>SUM(F367:H367)</f>
        <v>71909.653800000044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70236.096000000005</v>
      </c>
      <c r="G368" s="47">
        <f>SUM(G366:G367)</f>
        <v>245403.383</v>
      </c>
      <c r="H368" s="47">
        <f>SUM(H366:H367)</f>
        <v>229961.52480000001</v>
      </c>
      <c r="I368" s="47">
        <f>SUM(I366:I367)</f>
        <v>545601.00380000006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f>60365.1</f>
        <v>60365.1</v>
      </c>
      <c r="I374" s="18"/>
      <c r="J374" s="18"/>
      <c r="K374" s="18"/>
      <c r="L374" s="13">
        <f t="shared" ref="L374:L380" si="23">SUM(F374:K374)</f>
        <v>60365.1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f>203956.11+6234+3184.27</f>
        <v>213374.37999999998</v>
      </c>
      <c r="I375" s="18"/>
      <c r="J375" s="18"/>
      <c r="K375" s="18"/>
      <c r="L375" s="13">
        <f t="shared" si="23"/>
        <v>213374.37999999998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56784.6+540374.2+287755.95+876769.53+17249+306964.5+97261.4+183818.12+72243.6+238585.6+103862+128142.8+72739.04</f>
        <v>2982550.3400000003</v>
      </c>
      <c r="I377" s="18"/>
      <c r="J377" s="18"/>
      <c r="K377" s="18"/>
      <c r="L377" s="13">
        <f t="shared" si="23"/>
        <v>2982550.3400000003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f>28493+6205+20104.2+212066.28+241497.7</f>
        <v>508366.18</v>
      </c>
      <c r="I379" s="18"/>
      <c r="J379" s="18"/>
      <c r="K379" s="18"/>
      <c r="L379" s="13">
        <f t="shared" si="23"/>
        <v>508366.18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3764656.0000000005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3764656.0000000005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100000</v>
      </c>
      <c r="H388" s="18">
        <f>1307</f>
        <v>1307</v>
      </c>
      <c r="I388" s="18"/>
      <c r="J388" s="24" t="s">
        <v>289</v>
      </c>
      <c r="K388" s="24" t="s">
        <v>289</v>
      </c>
      <c r="L388" s="56">
        <f t="shared" si="25"/>
        <v>101307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100000</v>
      </c>
      <c r="H392" s="139">
        <f>SUM(H386:H391)</f>
        <v>1307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101307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100000</v>
      </c>
      <c r="H396" s="18">
        <f>23.15</f>
        <v>23.15</v>
      </c>
      <c r="I396" s="18"/>
      <c r="J396" s="24" t="s">
        <v>289</v>
      </c>
      <c r="K396" s="24" t="s">
        <v>289</v>
      </c>
      <c r="L396" s="56">
        <f t="shared" si="26"/>
        <v>100023.15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23.15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100023.15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200000</v>
      </c>
      <c r="H407" s="47">
        <f>H392+H400+H406</f>
        <v>1330.15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201330.15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196151.96</f>
        <v>196151.96</v>
      </c>
      <c r="G439" s="18">
        <f>336761.17</f>
        <v>336761.17</v>
      </c>
      <c r="H439" s="18"/>
      <c r="I439" s="56">
        <f t="shared" si="33"/>
        <v>532913.13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f>100000+50000</f>
        <v>150000</v>
      </c>
      <c r="G440" s="18">
        <v>100000</v>
      </c>
      <c r="H440" s="18"/>
      <c r="I440" s="56">
        <f t="shared" si="33"/>
        <v>250000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346151.95999999996</v>
      </c>
      <c r="G445" s="13">
        <f>SUM(G438:G444)</f>
        <v>436761.17</v>
      </c>
      <c r="H445" s="13">
        <f>SUM(H438:H444)</f>
        <v>0</v>
      </c>
      <c r="I445" s="13">
        <f>SUM(I438:I444)</f>
        <v>782913.13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f>1955.39</f>
        <v>1955.39</v>
      </c>
      <c r="G447" s="18"/>
      <c r="H447" s="18"/>
      <c r="I447" s="56">
        <f>SUM(F447:H447)</f>
        <v>1955.39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1955.39</v>
      </c>
      <c r="G451" s="72">
        <f>SUM(G447:G450)</f>
        <v>0</v>
      </c>
      <c r="H451" s="72">
        <f>SUM(H447:H450)</f>
        <v>0</v>
      </c>
      <c r="I451" s="72">
        <f>SUM(I447:I450)</f>
        <v>1955.39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F445-F451</f>
        <v>344196.56999999995</v>
      </c>
      <c r="G458" s="18">
        <f>G445-G451</f>
        <v>436761.17</v>
      </c>
      <c r="H458" s="18"/>
      <c r="I458" s="56">
        <f t="shared" si="34"/>
        <v>780957.74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344196.56999999995</v>
      </c>
      <c r="G459" s="83">
        <f>SUM(G453:G458)</f>
        <v>436761.17</v>
      </c>
      <c r="H459" s="83">
        <f>SUM(H453:H458)</f>
        <v>0</v>
      </c>
      <c r="I459" s="83">
        <f>SUM(I453:I458)</f>
        <v>780957.74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346151.95999999996</v>
      </c>
      <c r="G460" s="42">
        <f>G451+G459</f>
        <v>436761.17</v>
      </c>
      <c r="H460" s="42">
        <f>H451+H459</f>
        <v>0</v>
      </c>
      <c r="I460" s="42">
        <f>I451+I459</f>
        <v>782913.13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1508516.57</f>
        <v>1508516.57</v>
      </c>
      <c r="G464" s="18">
        <f>-153186.84+35037.31-1218.86</f>
        <v>-119368.39</v>
      </c>
      <c r="H464" s="18"/>
      <c r="I464" s="18"/>
      <c r="J464" s="18">
        <v>580907.77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42208888.329999991</v>
      </c>
      <c r="G467" s="18">
        <f>G192</f>
        <v>1256958.08</v>
      </c>
      <c r="H467" s="18">
        <f>H192</f>
        <v>1219741.5699999998</v>
      </c>
      <c r="I467" s="18">
        <f>I192</f>
        <v>4000596.78</v>
      </c>
      <c r="J467" s="18">
        <f>L407</f>
        <v>201330.15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>
        <v>9.99</v>
      </c>
      <c r="J468" s="18">
        <v>675.21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42208888.329999991</v>
      </c>
      <c r="G469" s="53">
        <f>SUM(G467:G468)</f>
        <v>1256958.08</v>
      </c>
      <c r="H469" s="53">
        <f>SUM(H467:H468)</f>
        <v>1219741.5699999998</v>
      </c>
      <c r="I469" s="53">
        <f>SUM(I467:I468)</f>
        <v>4000606.77</v>
      </c>
      <c r="J469" s="53">
        <f>SUM(J467:J468)</f>
        <v>202005.36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41709072.230967</v>
      </c>
      <c r="G471" s="18">
        <f>L361</f>
        <v>1324320.5837999999</v>
      </c>
      <c r="H471" s="18">
        <f>L351</f>
        <v>1219741.5736000002</v>
      </c>
      <c r="I471" s="18">
        <f>L381</f>
        <v>3764656.0000000005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47448.27</v>
      </c>
      <c r="G472" s="18">
        <v>1454.12</v>
      </c>
      <c r="H472" s="18">
        <v>1158.31</v>
      </c>
      <c r="I472" s="18"/>
      <c r="J472" s="18">
        <v>1955.39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41756520.500967003</v>
      </c>
      <c r="G473" s="53">
        <f>SUM(G471:G472)</f>
        <v>1325774.7038</v>
      </c>
      <c r="H473" s="53">
        <f>SUM(H471:H472)</f>
        <v>1220899.8836000003</v>
      </c>
      <c r="I473" s="53">
        <f>SUM(I471:I472)</f>
        <v>3764656.0000000005</v>
      </c>
      <c r="J473" s="53">
        <f>SUM(J471:J472)</f>
        <v>1955.39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1960884.3990329877</v>
      </c>
      <c r="G475" s="53">
        <f>(G464+G469)- G473</f>
        <v>-188185.01379999984</v>
      </c>
      <c r="H475" s="53">
        <f>(H464+H469)- H473</f>
        <v>-1158.3136000004597</v>
      </c>
      <c r="I475" s="53">
        <f>(I464+I469)- I473</f>
        <v>235950.76999999955</v>
      </c>
      <c r="J475" s="53">
        <f>(J464+J469)- J473</f>
        <v>780957.74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274" t="s">
        <v>910</v>
      </c>
      <c r="G489" s="274" t="s">
        <v>911</v>
      </c>
      <c r="H489" s="274" t="s">
        <v>910</v>
      </c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275" t="s">
        <v>912</v>
      </c>
      <c r="G490" s="275" t="s">
        <v>914</v>
      </c>
      <c r="H490" s="274" t="s">
        <v>916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275" t="s">
        <v>913</v>
      </c>
      <c r="G491" s="155" t="s">
        <v>915</v>
      </c>
      <c r="H491" s="274" t="s">
        <v>917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9000000</v>
      </c>
      <c r="G492" s="18">
        <v>14475000</v>
      </c>
      <c r="H492" s="18">
        <v>3575000</v>
      </c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4.78</v>
      </c>
      <c r="G493" s="18">
        <v>4.7</v>
      </c>
      <c r="H493" s="18">
        <v>1.69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545739</v>
      </c>
      <c r="G494" s="18">
        <v>441372</v>
      </c>
      <c r="H494" s="18"/>
      <c r="I494" s="18"/>
      <c r="J494" s="18"/>
      <c r="K494" s="53">
        <f>SUM(F494:J494)</f>
        <v>987111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>
        <v>3575000</v>
      </c>
      <c r="I495" s="18"/>
      <c r="J495" s="18"/>
      <c r="K495" s="53">
        <f t="shared" ref="K495:K502" si="35">SUM(F495:J495)</f>
        <v>3575000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545739</v>
      </c>
      <c r="G496" s="18">
        <v>441372</v>
      </c>
      <c r="H496" s="18"/>
      <c r="I496" s="18"/>
      <c r="J496" s="18"/>
      <c r="K496" s="53">
        <f t="shared" si="35"/>
        <v>987111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0</v>
      </c>
      <c r="H497" s="204">
        <v>3575000</v>
      </c>
      <c r="I497" s="204"/>
      <c r="J497" s="204"/>
      <c r="K497" s="205">
        <f t="shared" si="35"/>
        <v>3575000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796678</v>
      </c>
      <c r="I498" s="18"/>
      <c r="J498" s="18"/>
      <c r="K498" s="53">
        <f t="shared" si="35"/>
        <v>796678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4371678</v>
      </c>
      <c r="I499" s="42">
        <f>SUM(I497:I498)</f>
        <v>0</v>
      </c>
      <c r="J499" s="42">
        <f>SUM(J497:J498)</f>
        <v>0</v>
      </c>
      <c r="K499" s="42">
        <f t="shared" si="35"/>
        <v>4371678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0</v>
      </c>
      <c r="H500" s="204">
        <v>360000</v>
      </c>
      <c r="I500" s="204"/>
      <c r="J500" s="204"/>
      <c r="K500" s="205">
        <f t="shared" si="35"/>
        <v>360000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>
        <v>143953</v>
      </c>
      <c r="I501" s="18"/>
      <c r="J501" s="18"/>
      <c r="K501" s="53">
        <f t="shared" si="35"/>
        <v>143953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503953</v>
      </c>
      <c r="I502" s="42">
        <f>SUM(I500:I501)</f>
        <v>0</v>
      </c>
      <c r="J502" s="42">
        <f>SUM(J500:J501)</f>
        <v>0</v>
      </c>
      <c r="K502" s="42">
        <f t="shared" si="35"/>
        <v>503953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23069.5+47339.2+47339.2+38675.2+11834.8+83358.95+65199.22+113250.66+9166.74+88456.24+60522+30001.94+59351.41+32830.12+46625.11+3862.23+55641.5+197445.59+126197.44+112349.55+60522+26462.86+0.34*76718.65+0.5*(135717.5+107974.03)</f>
        <v>1487431.5659999999</v>
      </c>
      <c r="G520" s="18">
        <f>25253.3+17380.43+30480.11+28820.09+2283.75+429477.68</f>
        <v>533695.36</v>
      </c>
      <c r="H520" s="18">
        <f>0.34*(4080.88+524.9)+F581</f>
        <v>159542.12520000001</v>
      </c>
      <c r="I520" s="18">
        <f>2862.26+606.35+241.49+86.96+293.7+2184.29+173.6+235.17</f>
        <v>6683.8200000000006</v>
      </c>
      <c r="J520" s="18">
        <f>283.35</f>
        <v>283.35000000000002</v>
      </c>
      <c r="K520" s="18"/>
      <c r="L520" s="88">
        <f>SUM(F520:K520)</f>
        <v>2187636.2212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23069.5+41667+21057.63+138655+73420.02+221655.27+242621.9+0.31*76718.65+0.5*(135717.5+107974.03)</f>
        <v>907774.86650000012</v>
      </c>
      <c r="G521" s="18">
        <f>25253.3+29393.32+294406.08</f>
        <v>349052.7</v>
      </c>
      <c r="H521" s="18">
        <f>0.31*(4080.88+524.9)+G581+G582+24525</f>
        <v>282029.82180000003</v>
      </c>
      <c r="I521" s="18">
        <f>414.49+2085.19+1190.45+311.62+61.08+102.15</f>
        <v>4164.9799999999996</v>
      </c>
      <c r="J521" s="18"/>
      <c r="K521" s="18"/>
      <c r="L521" s="88">
        <f>SUM(F521:K521)</f>
        <v>1543022.3683000002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34550+38898.5+135326.84+144935.47+338707.96+205245.26+160763.65+152176.21+0.35*76718.65</f>
        <v>1237455.4175</v>
      </c>
      <c r="G522" s="18">
        <f>22635.7+28862.87+194434.65</f>
        <v>245933.22</v>
      </c>
      <c r="H522" s="18">
        <f>0.35*(4080.88+524.9)+H578+H581+H582+H583+26620+2718</f>
        <v>1076627.013</v>
      </c>
      <c r="I522" s="18">
        <f>364.03+600+396.37+1732.83+1703.2+329.5+1707.09+204.88+181.88+179.9</f>
        <v>7399.68</v>
      </c>
      <c r="J522" s="18"/>
      <c r="K522" s="18"/>
      <c r="L522" s="88">
        <f>SUM(F522:K522)</f>
        <v>2567415.3305000002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3632661.85</v>
      </c>
      <c r="G523" s="108">
        <f t="shared" ref="G523:L523" si="36">SUM(G520:G522)</f>
        <v>1128681.28</v>
      </c>
      <c r="H523" s="108">
        <f t="shared" si="36"/>
        <v>1518198.96</v>
      </c>
      <c r="I523" s="108">
        <f t="shared" si="36"/>
        <v>18248.48</v>
      </c>
      <c r="J523" s="108">
        <f t="shared" si="36"/>
        <v>283.35000000000002</v>
      </c>
      <c r="K523" s="108">
        <f t="shared" si="36"/>
        <v>0</v>
      </c>
      <c r="L523" s="89">
        <f t="shared" si="36"/>
        <v>6298073.9199999999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0.34*(192189.15+28791.04+284515.83+93090.73+269280.5)</f>
        <v>295074.86500000005</v>
      </c>
      <c r="G525" s="18">
        <f>F525*15.65%</f>
        <v>46179.216372500006</v>
      </c>
      <c r="H525" s="18">
        <f>0.34*26881.62</f>
        <v>9139.7507999999998</v>
      </c>
      <c r="I525" s="18">
        <f>262.29+0.34*(3001.88+1250.02+1950.74)</f>
        <v>2371.1875999999997</v>
      </c>
      <c r="J525" s="18">
        <f>1777+0.34*5077.86</f>
        <v>3503.4724000000001</v>
      </c>
      <c r="K525" s="18">
        <f>0.34*913.07+0.34*10151</f>
        <v>3761.7838000000002</v>
      </c>
      <c r="L525" s="88">
        <f>SUM(F525:K525)</f>
        <v>360030.27597250004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0.31*(192189.15+28791.04+284515.83+93090.73+269280.5)</f>
        <v>269038.84749999997</v>
      </c>
      <c r="G526" s="18">
        <f t="shared" ref="G526:G527" si="37">F526*15.65%</f>
        <v>42104.57963375</v>
      </c>
      <c r="H526" s="18">
        <f>0.31*26881.62</f>
        <v>8333.3022000000001</v>
      </c>
      <c r="I526" s="18">
        <f>0.31*(3001.88+1250.02+1950.74)</f>
        <v>1922.8183999999999</v>
      </c>
      <c r="J526" s="18">
        <f>0.31*5077.86</f>
        <v>1574.1365999999998</v>
      </c>
      <c r="K526" s="18">
        <f>0.31*913.07+0.31*10151</f>
        <v>3429.8616999999999</v>
      </c>
      <c r="L526" s="88">
        <f>SUM(F526:K526)</f>
        <v>326403.54603375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0.35*(192189.15+28791.04+284515.83+93090.73+269280.5)</f>
        <v>303753.53749999998</v>
      </c>
      <c r="G527" s="18">
        <f t="shared" si="37"/>
        <v>47537.428618749997</v>
      </c>
      <c r="H527" s="18">
        <f>0.35*26881.62</f>
        <v>9408.5669999999991</v>
      </c>
      <c r="I527" s="18">
        <f>0.35*(3001.88+1250.02+1950.74)</f>
        <v>2170.9239999999995</v>
      </c>
      <c r="J527" s="18">
        <f>0.35*5077.86</f>
        <v>1777.2509999999997</v>
      </c>
      <c r="K527" s="18">
        <f>0.35*913.07+0.35*10151</f>
        <v>3872.4245000000001</v>
      </c>
      <c r="L527" s="88">
        <f>SUM(F527:K527)</f>
        <v>368520.13261874998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867867.25</v>
      </c>
      <c r="G528" s="89">
        <f t="shared" ref="G528:L528" si="38">SUM(G525:G527)</f>
        <v>135821.224625</v>
      </c>
      <c r="H528" s="89">
        <f t="shared" si="38"/>
        <v>26881.62</v>
      </c>
      <c r="I528" s="89">
        <f t="shared" si="38"/>
        <v>6464.9299999999985</v>
      </c>
      <c r="J528" s="89">
        <f t="shared" si="38"/>
        <v>6854.8600000000006</v>
      </c>
      <c r="K528" s="89">
        <f t="shared" si="38"/>
        <v>11064.07</v>
      </c>
      <c r="L528" s="89">
        <f t="shared" si="38"/>
        <v>1054953.954625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0.34*(86520.91+170040)</f>
        <v>87230.709400000007</v>
      </c>
      <c r="G530" s="18">
        <f>0.34*57784.14+15.65%*F530</f>
        <v>33298.213621100003</v>
      </c>
      <c r="H530" s="18">
        <f>0.34*549.9+0.34*8167.86</f>
        <v>2964.0383999999999</v>
      </c>
      <c r="I530" s="18"/>
      <c r="J530" s="18"/>
      <c r="K530" s="18">
        <f>0.34*17060.45</f>
        <v>5800.5530000000008</v>
      </c>
      <c r="L530" s="88">
        <f>SUM(F530:K530)</f>
        <v>129293.51442110002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42702.4+0.31*(86520.91+170040)</f>
        <v>122236.28210000001</v>
      </c>
      <c r="G531" s="18">
        <f>0.31*57784.14+15.65%*F531</f>
        <v>37043.061548650003</v>
      </c>
      <c r="H531" s="18">
        <f>0.31*549.9+0.31*8167.86</f>
        <v>2702.5056</v>
      </c>
      <c r="I531" s="18"/>
      <c r="J531" s="18"/>
      <c r="K531" s="18">
        <f>0.31*17060.45</f>
        <v>5288.7395000000006</v>
      </c>
      <c r="L531" s="88">
        <f>SUM(F531:K531)</f>
        <v>167270.58874865001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24453+72451+43559+0.35*(86520.91+170040)</f>
        <v>230259.31849999999</v>
      </c>
      <c r="G532" s="18">
        <f>0.35*57784.14+15.65%*F532</f>
        <v>56260.032345250002</v>
      </c>
      <c r="H532" s="18">
        <f>0.35*549.9+0.35*8167.83</f>
        <v>3051.2055</v>
      </c>
      <c r="I532" s="18"/>
      <c r="J532" s="18"/>
      <c r="K532" s="18">
        <f>0.35*17060.45</f>
        <v>5971.1575000000003</v>
      </c>
      <c r="L532" s="88">
        <f>SUM(F532:K532)</f>
        <v>295541.71384524996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439726.31</v>
      </c>
      <c r="G533" s="89">
        <f t="shared" ref="G533:L533" si="39">SUM(G530:G532)</f>
        <v>126601.30751500001</v>
      </c>
      <c r="H533" s="89">
        <f t="shared" si="39"/>
        <v>8717.7494999999999</v>
      </c>
      <c r="I533" s="89">
        <f t="shared" si="39"/>
        <v>0</v>
      </c>
      <c r="J533" s="89">
        <f t="shared" si="39"/>
        <v>0</v>
      </c>
      <c r="K533" s="89">
        <f t="shared" si="39"/>
        <v>17060.45</v>
      </c>
      <c r="L533" s="89">
        <f t="shared" si="39"/>
        <v>592105.81701499992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0.34*35068.38</f>
        <v>11923.2492</v>
      </c>
      <c r="I535" s="18"/>
      <c r="J535" s="18"/>
      <c r="K535" s="18"/>
      <c r="L535" s="88">
        <f>SUM(F535:K535)</f>
        <v>11923.2492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0.31*35068.38</f>
        <v>10871.1978</v>
      </c>
      <c r="I536" s="18"/>
      <c r="J536" s="18"/>
      <c r="K536" s="18"/>
      <c r="L536" s="88">
        <f>SUM(F536:K536)</f>
        <v>10871.1978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0.35*35068.38</f>
        <v>12273.932999999999</v>
      </c>
      <c r="I537" s="18"/>
      <c r="J537" s="18"/>
      <c r="K537" s="18"/>
      <c r="L537" s="88">
        <f>SUM(F537:K537)</f>
        <v>12273.932999999999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35068.379999999997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35068.379999999997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H591</f>
        <v>174022.39360000001</v>
      </c>
      <c r="I540" s="18"/>
      <c r="J540" s="18"/>
      <c r="K540" s="18"/>
      <c r="L540" s="88">
        <f>SUM(F540:K540)</f>
        <v>174022.39360000001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I591</f>
        <v>190863.27040000004</v>
      </c>
      <c r="I541" s="18"/>
      <c r="J541" s="18"/>
      <c r="K541" s="18"/>
      <c r="L541" s="88">
        <f>SUM(F541:K541)</f>
        <v>190863.27040000004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J591</f>
        <v>196476.89600000001</v>
      </c>
      <c r="I542" s="18"/>
      <c r="J542" s="18"/>
      <c r="K542" s="18"/>
      <c r="L542" s="88">
        <f>SUM(F542:K542)</f>
        <v>196476.89600000001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561362.56000000006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561362.56000000006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4940255.4099999992</v>
      </c>
      <c r="G544" s="89">
        <f t="shared" ref="G544:L544" si="42">G523+G528+G533+G538+G543</f>
        <v>1391103.8121400001</v>
      </c>
      <c r="H544" s="89">
        <f t="shared" si="42"/>
        <v>2150229.2694999999</v>
      </c>
      <c r="I544" s="89">
        <f t="shared" si="42"/>
        <v>24713.409999999996</v>
      </c>
      <c r="J544" s="89">
        <f t="shared" si="42"/>
        <v>7138.2100000000009</v>
      </c>
      <c r="K544" s="89">
        <f t="shared" si="42"/>
        <v>28124.52</v>
      </c>
      <c r="L544" s="89">
        <f t="shared" si="42"/>
        <v>8541564.6316400003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2187636.2212</v>
      </c>
      <c r="G548" s="87">
        <f>L525</f>
        <v>360030.27597250004</v>
      </c>
      <c r="H548" s="87">
        <f>L530</f>
        <v>129293.51442110002</v>
      </c>
      <c r="I548" s="87">
        <f>L535</f>
        <v>11923.2492</v>
      </c>
      <c r="J548" s="87">
        <f>L540</f>
        <v>174022.39360000001</v>
      </c>
      <c r="K548" s="87">
        <f>SUM(F548:J548)</f>
        <v>2862905.6543935998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1543022.3683000002</v>
      </c>
      <c r="G549" s="87">
        <f>L526</f>
        <v>326403.54603375</v>
      </c>
      <c r="H549" s="87">
        <f>L531</f>
        <v>167270.58874865001</v>
      </c>
      <c r="I549" s="87">
        <f>L536</f>
        <v>10871.1978</v>
      </c>
      <c r="J549" s="87">
        <f>L541</f>
        <v>190863.27040000004</v>
      </c>
      <c r="K549" s="87">
        <f>SUM(F549:J549)</f>
        <v>2238430.9712824002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2567415.3305000002</v>
      </c>
      <c r="G550" s="87">
        <f>L527</f>
        <v>368520.13261874998</v>
      </c>
      <c r="H550" s="87">
        <f>L532</f>
        <v>295541.71384524996</v>
      </c>
      <c r="I550" s="87">
        <f>L537</f>
        <v>12273.932999999999</v>
      </c>
      <c r="J550" s="87">
        <f>L542</f>
        <v>196476.89600000001</v>
      </c>
      <c r="K550" s="87">
        <f>SUM(F550:J550)</f>
        <v>3440228.0059640002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6298073.9199999999</v>
      </c>
      <c r="G551" s="89">
        <f t="shared" si="43"/>
        <v>1054953.954625</v>
      </c>
      <c r="H551" s="89">
        <f t="shared" si="43"/>
        <v>592105.81701499992</v>
      </c>
      <c r="I551" s="89">
        <f t="shared" si="43"/>
        <v>35068.379999999997</v>
      </c>
      <c r="J551" s="89">
        <f t="shared" si="43"/>
        <v>561362.56000000006</v>
      </c>
      <c r="K551" s="89">
        <f t="shared" si="43"/>
        <v>8541564.6316400003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0.34*47549</f>
        <v>16166.660000000002</v>
      </c>
      <c r="G561" s="18">
        <f>F561*15.65%</f>
        <v>2530.0822900000003</v>
      </c>
      <c r="H561" s="18">
        <f>0.34*4004.95</f>
        <v>1361.683</v>
      </c>
      <c r="I561" s="18">
        <f>0.34*1114.45</f>
        <v>378.91300000000007</v>
      </c>
      <c r="J561" s="18"/>
      <c r="K561" s="18"/>
      <c r="L561" s="88">
        <f>SUM(F561:K561)</f>
        <v>20437.338290000003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0.31*47549</f>
        <v>14740.19</v>
      </c>
      <c r="G562" s="18">
        <f t="shared" ref="G562:G563" si="45">F562*15.65%</f>
        <v>2306.839735</v>
      </c>
      <c r="H562" s="18">
        <f>0.31*4004.95</f>
        <v>1241.5345</v>
      </c>
      <c r="I562" s="18">
        <f>0.31*1114.45</f>
        <v>345.47950000000003</v>
      </c>
      <c r="J562" s="18"/>
      <c r="K562" s="18"/>
      <c r="L562" s="88">
        <f>SUM(F562:K562)</f>
        <v>18634.043735000003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0.35*47549</f>
        <v>16642.149999999998</v>
      </c>
      <c r="G563" s="18">
        <f t="shared" si="45"/>
        <v>2604.4964749999995</v>
      </c>
      <c r="H563" s="18">
        <f>0.35*4004.95</f>
        <v>1401.7324999999998</v>
      </c>
      <c r="I563" s="18">
        <f>0.35*1114.45</f>
        <v>390.0575</v>
      </c>
      <c r="J563" s="18"/>
      <c r="K563" s="18"/>
      <c r="L563" s="88">
        <f>SUM(F563:K563)</f>
        <v>21038.436474999995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6">SUM(F561:F563)</f>
        <v>47549</v>
      </c>
      <c r="G564" s="89">
        <f t="shared" si="46"/>
        <v>7441.4184999999998</v>
      </c>
      <c r="H564" s="89">
        <f t="shared" si="46"/>
        <v>4004.95</v>
      </c>
      <c r="I564" s="89">
        <f t="shared" si="46"/>
        <v>1114.4500000000003</v>
      </c>
      <c r="J564" s="89">
        <f t="shared" si="46"/>
        <v>0</v>
      </c>
      <c r="K564" s="89">
        <f t="shared" si="46"/>
        <v>0</v>
      </c>
      <c r="L564" s="89">
        <f t="shared" si="46"/>
        <v>60109.818500000001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7">SUM(G566:G568)</f>
        <v>0</v>
      </c>
      <c r="H569" s="193">
        <f t="shared" si="47"/>
        <v>0</v>
      </c>
      <c r="I569" s="193">
        <f t="shared" si="47"/>
        <v>0</v>
      </c>
      <c r="J569" s="193">
        <f t="shared" si="47"/>
        <v>0</v>
      </c>
      <c r="K569" s="193">
        <f t="shared" si="47"/>
        <v>0</v>
      </c>
      <c r="L569" s="193">
        <f t="shared" si="47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47549</v>
      </c>
      <c r="G570" s="89">
        <f t="shared" ref="G570:L570" si="48">G559+G564+G569</f>
        <v>7441.4184999999998</v>
      </c>
      <c r="H570" s="89">
        <f t="shared" si="48"/>
        <v>4004.95</v>
      </c>
      <c r="I570" s="89">
        <f t="shared" si="48"/>
        <v>1114.4500000000003</v>
      </c>
      <c r="J570" s="89">
        <f t="shared" si="48"/>
        <v>0</v>
      </c>
      <c r="K570" s="89">
        <f t="shared" si="48"/>
        <v>0</v>
      </c>
      <c r="L570" s="89">
        <f t="shared" si="48"/>
        <v>60109.818500000001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9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9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f>30637.93</f>
        <v>30637.93</v>
      </c>
      <c r="I578" s="87">
        <f t="shared" si="49"/>
        <v>30637.93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9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40568.4+34490.79+25335.61+115+360+90+720+46.99+250+55999.37</f>
        <v>157976.16</v>
      </c>
      <c r="G581" s="18">
        <f>101429.34+82148.21+45184.66</f>
        <v>228762.21</v>
      </c>
      <c r="H581" s="18">
        <f>39938.57+144568.56+23750.77+50423.76+155861.77+122639.74+264.95+1300+26000</f>
        <v>564748.12</v>
      </c>
      <c r="I581" s="87">
        <f t="shared" si="49"/>
        <v>951486.49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>
        <f>27314.82</f>
        <v>27314.82</v>
      </c>
      <c r="H582" s="18">
        <f>45938.44+13410.28+256658.5+13410.28+101284.46</f>
        <v>430701.96</v>
      </c>
      <c r="I582" s="87">
        <f t="shared" si="49"/>
        <v>458016.78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19588.98</f>
        <v>19588.98</v>
      </c>
      <c r="I583" s="87">
        <f t="shared" si="49"/>
        <v>19588.98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9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0.31*1356870.81</f>
        <v>420629.95110000001</v>
      </c>
      <c r="I590" s="18">
        <f>0.34*1356870.81</f>
        <v>461336.07540000003</v>
      </c>
      <c r="J590" s="18">
        <f>0.35*1356870.81-5745.6</f>
        <v>469159.18349999998</v>
      </c>
      <c r="K590" s="104">
        <f t="shared" ref="K590:K596" si="50">SUM(H590:J590)</f>
        <v>1351125.21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0.31*561362.56</f>
        <v>174022.39360000001</v>
      </c>
      <c r="I591" s="18">
        <f>0.34*561362.56</f>
        <v>190863.27040000004</v>
      </c>
      <c r="J591" s="18">
        <f>0.35*561362.56</f>
        <v>196476.89600000001</v>
      </c>
      <c r="K591" s="104">
        <f t="shared" si="50"/>
        <v>561362.56000000006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5745.6</f>
        <v>5745.6</v>
      </c>
      <c r="K592" s="104">
        <f t="shared" si="50"/>
        <v>5745.6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8021.78+14226.91</f>
        <v>22248.69</v>
      </c>
      <c r="J593" s="18">
        <f>79309.89</f>
        <v>79309.89</v>
      </c>
      <c r="K593" s="104">
        <f t="shared" si="50"/>
        <v>101558.58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17628.69</f>
        <v>17628.689999999999</v>
      </c>
      <c r="I594" s="18">
        <f>14778.76+22926.68</f>
        <v>37705.440000000002</v>
      </c>
      <c r="J594" s="18">
        <f>4340.55</f>
        <v>4340.55</v>
      </c>
      <c r="K594" s="104">
        <f t="shared" si="50"/>
        <v>59674.680000000008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0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612281.03469999996</v>
      </c>
      <c r="I597" s="108">
        <f>SUM(I590:I596)</f>
        <v>712153.4757999999</v>
      </c>
      <c r="J597" s="108">
        <f>SUM(J590:J596)</f>
        <v>755032.11950000003</v>
      </c>
      <c r="K597" s="108">
        <f>SUM(K590:K596)</f>
        <v>2079466.6300000001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3789.05+6790+3200+282+0.3*9810+J210</f>
        <v>71162.97</v>
      </c>
      <c r="I603" s="18">
        <f>3200+0.3*9810+J228</f>
        <v>118544.82</v>
      </c>
      <c r="J603" s="18">
        <f>4113.98+4451.78+14890+2044+2064.09+1120.66+10965.85+1199.97+3961+0.34*9810+12595+106+745+234+4330.93+J246</f>
        <v>332337.96999999997</v>
      </c>
      <c r="K603" s="104">
        <f>SUM(H603:J603)</f>
        <v>522045.76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71162.97</v>
      </c>
      <c r="I604" s="108">
        <f>SUM(I601:I603)</f>
        <v>118544.82</v>
      </c>
      <c r="J604" s="108">
        <f>SUM(J601:J603)</f>
        <v>332337.96999999997</v>
      </c>
      <c r="K604" s="108">
        <f>SUM(K601:K603)</f>
        <v>522045.76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0.34*76718.65</f>
        <v>26084.341</v>
      </c>
      <c r="G610" s="18">
        <f>F610*15.65%</f>
        <v>4082.1993665</v>
      </c>
      <c r="H610" s="18">
        <f>0.34*(4080.88+524.9)</f>
        <v>1565.9652000000001</v>
      </c>
      <c r="I610" s="18">
        <f>0.34*414.49</f>
        <v>140.92660000000001</v>
      </c>
      <c r="J610" s="18"/>
      <c r="K610" s="18"/>
      <c r="L610" s="88">
        <f>SUM(F610:K610)</f>
        <v>31873.432166499999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0.31*76718.65</f>
        <v>23782.781499999997</v>
      </c>
      <c r="G611" s="18">
        <f t="shared" ref="G611:G612" si="51">F611*15.65%</f>
        <v>3722.0053047499996</v>
      </c>
      <c r="H611" s="18">
        <f>0.31*(4080.88+524.9)</f>
        <v>1427.7918</v>
      </c>
      <c r="I611" s="18">
        <f>0.31*414.49</f>
        <v>128.49190000000002</v>
      </c>
      <c r="J611" s="18"/>
      <c r="K611" s="18"/>
      <c r="L611" s="88">
        <f>SUM(F611:K611)</f>
        <v>29061.070504749998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0.35*76718.65</f>
        <v>26851.527499999997</v>
      </c>
      <c r="G612" s="18">
        <f t="shared" si="51"/>
        <v>4202.2640537499992</v>
      </c>
      <c r="H612" s="18">
        <f>0.35*(4080.88+524.9)</f>
        <v>1612.0229999999999</v>
      </c>
      <c r="I612" s="18">
        <f>0.35*414.49</f>
        <v>145.07149999999999</v>
      </c>
      <c r="J612" s="18"/>
      <c r="K612" s="18"/>
      <c r="L612" s="88">
        <f>SUM(F612:K612)</f>
        <v>32810.886053749993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76718.649999999994</v>
      </c>
      <c r="G613" s="108">
        <f t="shared" si="52"/>
        <v>12006.468724999999</v>
      </c>
      <c r="H613" s="108">
        <f t="shared" si="52"/>
        <v>4605.78</v>
      </c>
      <c r="I613" s="108">
        <f t="shared" si="52"/>
        <v>414.49</v>
      </c>
      <c r="J613" s="108">
        <f t="shared" si="52"/>
        <v>0</v>
      </c>
      <c r="K613" s="108">
        <f t="shared" si="52"/>
        <v>0</v>
      </c>
      <c r="L613" s="89">
        <f t="shared" si="52"/>
        <v>93745.388724999997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2350094.15</v>
      </c>
      <c r="H616" s="109">
        <f>SUM(F51)</f>
        <v>2350094.15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132794.69999999998</v>
      </c>
      <c r="H617" s="109">
        <f>SUM(G51)</f>
        <v>132794.70000000001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183124.19</v>
      </c>
      <c r="H618" s="109">
        <f>SUM(H51)</f>
        <v>183124.19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235950.77000000002</v>
      </c>
      <c r="H619" s="109">
        <f>SUM(I51)</f>
        <v>235950.77000000002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782913.13</v>
      </c>
      <c r="H620" s="109">
        <f>SUM(J51)</f>
        <v>782913.13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1960884.4</v>
      </c>
      <c r="H621" s="109">
        <f>F475</f>
        <v>1960884.3990329877</v>
      </c>
      <c r="I621" s="121" t="s">
        <v>101</v>
      </c>
      <c r="J621" s="109">
        <f t="shared" ref="J621:J654" si="53">G621-H621</f>
        <v>9.6701225265860558E-4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-188185.01</v>
      </c>
      <c r="H622" s="109">
        <f>G475</f>
        <v>-188185.01379999984</v>
      </c>
      <c r="I622" s="121" t="s">
        <v>102</v>
      </c>
      <c r="J622" s="109">
        <f t="shared" si="53"/>
        <v>3.7999998312443495E-3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-1158.31</v>
      </c>
      <c r="H623" s="109">
        <f>H475</f>
        <v>-1158.3136000004597</v>
      </c>
      <c r="I623" s="121" t="s">
        <v>103</v>
      </c>
      <c r="J623" s="109">
        <f t="shared" si="53"/>
        <v>3.6000004597553925E-3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235950.77000000002</v>
      </c>
      <c r="H624" s="109">
        <f>I475</f>
        <v>235950.76999999955</v>
      </c>
      <c r="I624" s="121" t="s">
        <v>104</v>
      </c>
      <c r="J624" s="109">
        <f t="shared" si="53"/>
        <v>4.6566128730773926E-10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780957.74</v>
      </c>
      <c r="H625" s="109">
        <f>J475</f>
        <v>780957.74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42208888.329999991</v>
      </c>
      <c r="H626" s="104">
        <f>SUM(F467)</f>
        <v>42208888.329999991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1256958.08</v>
      </c>
      <c r="H627" s="104">
        <f>SUM(G467)</f>
        <v>1256958.08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1219741.5699999998</v>
      </c>
      <c r="H628" s="104">
        <f>SUM(H467)</f>
        <v>1219741.5699999998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4000596.78</v>
      </c>
      <c r="H629" s="104">
        <f>SUM(I467)</f>
        <v>4000596.78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201330.15</v>
      </c>
      <c r="H630" s="104">
        <f>SUM(J467)</f>
        <v>201330.15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41709072.230967</v>
      </c>
      <c r="H631" s="104">
        <f>SUM(F471)</f>
        <v>41709072.230967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1219741.5736000002</v>
      </c>
      <c r="H632" s="104">
        <f>SUM(H471)</f>
        <v>1219741.5736000002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545601.00380000006</v>
      </c>
      <c r="H633" s="104">
        <f>I368</f>
        <v>545601.00380000006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1324320.5837999999</v>
      </c>
      <c r="H634" s="104">
        <f>SUM(G471)</f>
        <v>1324320.5837999999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3764656.0000000005</v>
      </c>
      <c r="H635" s="104">
        <f>SUM(I471)</f>
        <v>3764656.0000000005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201330.15</v>
      </c>
      <c r="H636" s="164">
        <f>SUM(J467)</f>
        <v>201330.15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346151.95999999996</v>
      </c>
      <c r="H638" s="104">
        <f>SUM(F460)</f>
        <v>346151.95999999996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436761.17</v>
      </c>
      <c r="H639" s="104">
        <f>SUM(G460)</f>
        <v>436761.17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782913.13</v>
      </c>
      <c r="H641" s="104">
        <f>SUM(I460)</f>
        <v>782913.13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1330.15</v>
      </c>
      <c r="H643" s="104">
        <f>H407</f>
        <v>1330.15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200000</v>
      </c>
      <c r="H644" s="104">
        <f>G407</f>
        <v>200000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201330.15</v>
      </c>
      <c r="H645" s="104">
        <f>L407</f>
        <v>201330.15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2079466.6300000001</v>
      </c>
      <c r="H646" s="104">
        <f>L207+L225+L243</f>
        <v>2079466.63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522045.76</v>
      </c>
      <c r="H647" s="104">
        <f>(J256+J337)-(J254+J335)</f>
        <v>522045.76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612281.03</v>
      </c>
      <c r="H648" s="104">
        <f>H597</f>
        <v>612281.03469999996</v>
      </c>
      <c r="I648" s="140" t="s">
        <v>389</v>
      </c>
      <c r="J648" s="109">
        <f t="shared" si="53"/>
        <v>-4.6999999321997166E-3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712153.48</v>
      </c>
      <c r="H649" s="104">
        <f>I597</f>
        <v>712153.4757999999</v>
      </c>
      <c r="I649" s="140" t="s">
        <v>390</v>
      </c>
      <c r="J649" s="109">
        <f t="shared" si="53"/>
        <v>4.2000000830739737E-3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755032.12</v>
      </c>
      <c r="H650" s="104">
        <f>J597</f>
        <v>755032.11950000003</v>
      </c>
      <c r="I650" s="140" t="s">
        <v>391</v>
      </c>
      <c r="J650" s="109">
        <f t="shared" si="53"/>
        <v>4.9999996554106474E-4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281829.66000000003</v>
      </c>
      <c r="H651" s="104">
        <f>K262+K344</f>
        <v>281829.66000000003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200000</v>
      </c>
      <c r="H654" s="104">
        <f>K265+K346</f>
        <v>200000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8.3670169115066528E-3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13387592.489741001</v>
      </c>
      <c r="G659" s="19">
        <f>(L228+L308+L358)</f>
        <v>12950971.928216003</v>
      </c>
      <c r="H659" s="19">
        <f>(L246+L327+L359)</f>
        <v>15847776.340409996</v>
      </c>
      <c r="I659" s="19">
        <f>SUM(F659:H659)</f>
        <v>42186340.758367002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93528.248045753528</v>
      </c>
      <c r="G660" s="19">
        <f>(L358/IF(SUM(L357:L359)=0,1,SUM(L357:L359))*(SUM(G96:G109)))</f>
        <v>265901.28758611262</v>
      </c>
      <c r="H660" s="19">
        <f>(L359/IF(SUM(L357:L359)=0,1,SUM(L357:L359))*(SUM(G96:G109)))</f>
        <v>220897.71436813401</v>
      </c>
      <c r="I660" s="19">
        <f>SUM(F660:H660)</f>
        <v>580327.25000000012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612281.03</v>
      </c>
      <c r="G661" s="19">
        <f>(L225+L305)-(J225+J305)</f>
        <v>712153.48</v>
      </c>
      <c r="H661" s="19">
        <f>(L243+L324)-(J243+J324)</f>
        <v>757587.94</v>
      </c>
      <c r="I661" s="19">
        <f>SUM(F661:H661)</f>
        <v>2082022.45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261012.56216649999</v>
      </c>
      <c r="G662" s="199">
        <f>SUM(G574:G586)+SUM(I601:I603)+L611</f>
        <v>403682.92050474999</v>
      </c>
      <c r="H662" s="199">
        <f>SUM(H574:H586)+SUM(J601:J603)+L612</f>
        <v>1410825.84605375</v>
      </c>
      <c r="I662" s="19">
        <f>SUM(F662:H662)</f>
        <v>2075521.3287249999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12420770.649528747</v>
      </c>
      <c r="G663" s="19">
        <f>G659-SUM(G660:G662)</f>
        <v>11569234.24012514</v>
      </c>
      <c r="H663" s="19">
        <f>H659-SUM(H660:H662)</f>
        <v>13458464.839988112</v>
      </c>
      <c r="I663" s="19">
        <f>I659-SUM(I660:I662)</f>
        <v>37448469.729642004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122.65+54.95+48.37+81.27+72.39+241.87+48.3+65.87</f>
        <v>735.67</v>
      </c>
      <c r="G664" s="248">
        <f>269.45+439.92</f>
        <v>709.37</v>
      </c>
      <c r="H664" s="248">
        <f>827.24</f>
        <v>827.24</v>
      </c>
      <c r="I664" s="19">
        <f>SUM(F664:H664)</f>
        <v>2272.2799999999997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16883.62</v>
      </c>
      <c r="G666" s="19">
        <f>ROUND(G663/G664,2)</f>
        <v>16309.17</v>
      </c>
      <c r="H666" s="19">
        <f>ROUND(H663/H664,2)</f>
        <v>16269.12</v>
      </c>
      <c r="I666" s="19">
        <f>ROUND(I663/I664,2)</f>
        <v>16480.57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6.51</v>
      </c>
      <c r="I669" s="19">
        <f>SUM(F669:H669)</f>
        <v>6.51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16883.62</v>
      </c>
      <c r="G671" s="19">
        <f>ROUND((G663+G668)/(G664+G669),2)</f>
        <v>16309.17</v>
      </c>
      <c r="H671" s="19">
        <f>ROUND((H663+H668)/(H664+H669),2)</f>
        <v>16142.09</v>
      </c>
      <c r="I671" s="19">
        <f>ROUND((I663+I668)/(I664+I669),2)</f>
        <v>16433.490000000002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" right="0" top="0.75" bottom="0.75" header="0.5" footer="0.5"/>
  <pageSetup scale="8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11" man="1"/>
    <brk id="168" max="11" man="1"/>
    <brk id="192" max="11" man="1"/>
    <brk id="210" max="11" man="1"/>
    <brk id="228" max="11" man="1"/>
    <brk id="246" max="11" man="1"/>
    <brk id="270" max="11" man="1"/>
    <brk id="289" max="11" man="1"/>
    <brk id="308" max="11" man="1"/>
    <brk id="327" max="11" man="1"/>
    <brk id="351" max="11" man="1"/>
    <brk id="381" max="11" man="1"/>
    <brk id="407" max="11" man="1"/>
    <brk id="433" max="11" man="1"/>
    <brk id="460" max="11" man="1"/>
    <brk id="484" max="11" man="1"/>
    <brk id="516" max="11" man="1"/>
    <brk id="551" max="11" man="1"/>
    <brk id="587" max="11" man="1"/>
    <brk id="614" max="11" man="1"/>
    <brk id="655" max="11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: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Contoocook Valley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8855660.7899999991</v>
      </c>
      <c r="C9" s="229">
        <f>'DOE25'!G196+'DOE25'!G214+'DOE25'!G232+'DOE25'!G275+'DOE25'!G294+'DOE25'!G313</f>
        <v>4989330.648839999</v>
      </c>
    </row>
    <row r="10" spans="1:3" x14ac:dyDescent="0.2">
      <c r="A10" t="s">
        <v>779</v>
      </c>
      <c r="B10" s="240">
        <v>8559863.0899999999</v>
      </c>
      <c r="C10" s="240">
        <v>4889544.04</v>
      </c>
    </row>
    <row r="11" spans="1:3" x14ac:dyDescent="0.2">
      <c r="A11" t="s">
        <v>780</v>
      </c>
      <c r="B11" s="240">
        <v>295797.7</v>
      </c>
      <c r="C11" s="240">
        <v>99786.61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8855660.7899999991</v>
      </c>
      <c r="C13" s="231">
        <f>SUM(C10:C12)</f>
        <v>4989330.6500000004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4797468.6899999995</v>
      </c>
      <c r="C18" s="229">
        <f>'DOE25'!G197+'DOE25'!G215+'DOE25'!G233+'DOE25'!G276+'DOE25'!G295+'DOE25'!G314</f>
        <v>2558486.5750299999</v>
      </c>
    </row>
    <row r="19" spans="1:3" x14ac:dyDescent="0.2">
      <c r="A19" t="s">
        <v>779</v>
      </c>
      <c r="B19" s="240">
        <f>2440231.73+296090.49+13359.06+115115.5+11834+2214.65+19213.25</f>
        <v>2898058.6799999997</v>
      </c>
      <c r="C19" s="240">
        <f>C18*0.6</f>
        <v>1535091.945018</v>
      </c>
    </row>
    <row r="20" spans="1:3" x14ac:dyDescent="0.2">
      <c r="A20" t="s">
        <v>780</v>
      </c>
      <c r="B20" s="240">
        <f>1249518.86+297111.68+46139+10000</f>
        <v>1602769.54</v>
      </c>
      <c r="C20" s="240">
        <f>C18*0.33</f>
        <v>844300.56975989998</v>
      </c>
    </row>
    <row r="21" spans="1:3" x14ac:dyDescent="0.2">
      <c r="A21" t="s">
        <v>781</v>
      </c>
      <c r="B21" s="240">
        <f>67155.4+72451+157034.07</f>
        <v>296640.46999999997</v>
      </c>
      <c r="C21" s="240">
        <f>C18*0.07</f>
        <v>179094.06025210003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4797468.6899999995</v>
      </c>
      <c r="C22" s="231">
        <f>SUM(C19:C21)</f>
        <v>2558486.5750299999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739639.92999999993</v>
      </c>
      <c r="C27" s="234">
        <f>'DOE25'!G198+'DOE25'!G216+'DOE25'!G234+'DOE25'!G277+'DOE25'!G296+'DOE25'!G315</f>
        <v>242019.802524</v>
      </c>
    </row>
    <row r="28" spans="1:3" x14ac:dyDescent="0.2">
      <c r="A28" t="s">
        <v>779</v>
      </c>
      <c r="B28" s="240">
        <f>39944.56+114516.5+153087.7+155404+53775.67+48344+60653+53392.5+60522</f>
        <v>739639.92999999993</v>
      </c>
      <c r="C28" s="240">
        <v>242019.8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Error</v>
      </c>
      <c r="B31" s="231">
        <f>SUM(B28:B30)</f>
        <v>739639.92999999993</v>
      </c>
      <c r="C31" s="231">
        <f>SUM(C28:C30)</f>
        <v>242019.8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432392.34</v>
      </c>
      <c r="C36" s="235">
        <f>'DOE25'!G199+'DOE25'!G217+'DOE25'!G235+'DOE25'!G278+'DOE25'!G297+'DOE25'!G316</f>
        <v>171175.33380399999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432392.34</v>
      </c>
      <c r="C39" s="240">
        <v>171175.33</v>
      </c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432392.34</v>
      </c>
      <c r="C40" s="231">
        <f>SUM(C37:C39)</f>
        <v>171175.33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Contoocook Valley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24941996.260598</v>
      </c>
      <c r="D5" s="20">
        <f>SUM('DOE25'!L196:L199)+SUM('DOE25'!L214:L217)+SUM('DOE25'!L232:L235)-F5-G5</f>
        <v>24462786.190598</v>
      </c>
      <c r="E5" s="243"/>
      <c r="F5" s="255">
        <f>SUM('DOE25'!J196:J199)+SUM('DOE25'!J214:J217)+SUM('DOE25'!J232:J235)</f>
        <v>405675.15</v>
      </c>
      <c r="G5" s="53">
        <f>SUM('DOE25'!K196:K199)+SUM('DOE25'!K214:K217)+SUM('DOE25'!K232:K235)</f>
        <v>73534.92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2264005.47089</v>
      </c>
      <c r="D6" s="20">
        <f>'DOE25'!L201+'DOE25'!L219+'DOE25'!L237-F6-G6</f>
        <v>2243574.1608899999</v>
      </c>
      <c r="E6" s="243"/>
      <c r="F6" s="255">
        <f>'DOE25'!J201+'DOE25'!J219+'DOE25'!J237</f>
        <v>19386.96</v>
      </c>
      <c r="G6" s="53">
        <f>'DOE25'!K201+'DOE25'!K219+'DOE25'!K237</f>
        <v>1044.3499999999999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1464748.1131729998</v>
      </c>
      <c r="D7" s="20">
        <f>'DOE25'!L202+'DOE25'!L220+'DOE25'!L238-F7-G7</f>
        <v>1452073.8331729998</v>
      </c>
      <c r="E7" s="243"/>
      <c r="F7" s="255">
        <f>'DOE25'!J202+'DOE25'!J220+'DOE25'!J238</f>
        <v>5621.78</v>
      </c>
      <c r="G7" s="53">
        <f>'DOE25'!K202+'DOE25'!K220+'DOE25'!K238</f>
        <v>7052.5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1056049.6841810001</v>
      </c>
      <c r="D8" s="243"/>
      <c r="E8" s="20">
        <f>'DOE25'!L203+'DOE25'!L221+'DOE25'!L239-F8-G8-D9-D11</f>
        <v>1040352.1841810001</v>
      </c>
      <c r="F8" s="255">
        <f>'DOE25'!J203+'DOE25'!J221+'DOE25'!J239</f>
        <v>0</v>
      </c>
      <c r="G8" s="53">
        <f>'DOE25'!K203+'DOE25'!K221+'DOE25'!K239</f>
        <v>15697.5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399148.81</v>
      </c>
      <c r="D9" s="244">
        <v>399148.81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30304.5</v>
      </c>
      <c r="D10" s="243"/>
      <c r="E10" s="244">
        <v>30304.5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433581.71</v>
      </c>
      <c r="D11" s="244">
        <f>161659.02+189891.24+82031.45</f>
        <v>433581.71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2739722.9990289998</v>
      </c>
      <c r="D12" s="20">
        <f>'DOE25'!L204+'DOE25'!L222+'DOE25'!L240-F12-G12</f>
        <v>2684241.5190289998</v>
      </c>
      <c r="E12" s="243"/>
      <c r="F12" s="255">
        <f>'DOE25'!J204+'DOE25'!J222+'DOE25'!J240</f>
        <v>2057.16</v>
      </c>
      <c r="G12" s="53">
        <f>'DOE25'!K204+'DOE25'!K222+'DOE25'!K240</f>
        <v>53424.32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4260630.393096</v>
      </c>
      <c r="D14" s="20">
        <f>'DOE25'!L206+'DOE25'!L224+'DOE25'!L242-F14-G14</f>
        <v>4260630.393096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2079466.63</v>
      </c>
      <c r="D15" s="20">
        <f>'DOE25'!L207+'DOE25'!L225+'DOE25'!L243-F15-G15</f>
        <v>2079466.63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64233.37</v>
      </c>
      <c r="D16" s="243"/>
      <c r="E16" s="20">
        <f>'DOE25'!L208+'DOE25'!L226+'DOE25'!L244-F16-G16</f>
        <v>64233.37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1523659.13</v>
      </c>
      <c r="D25" s="243"/>
      <c r="E25" s="243"/>
      <c r="F25" s="258"/>
      <c r="G25" s="256"/>
      <c r="H25" s="257">
        <f>'DOE25'!L259+'DOE25'!L260+'DOE25'!L340+'DOE25'!L341</f>
        <v>1523659.13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850629.23379999993</v>
      </c>
      <c r="D29" s="20">
        <f>'DOE25'!L357+'DOE25'!L358+'DOE25'!L359-'DOE25'!I366-F29-G29</f>
        <v>845195.49379999994</v>
      </c>
      <c r="E29" s="243"/>
      <c r="F29" s="255">
        <f>'DOE25'!J357+'DOE25'!J358+'DOE25'!J359</f>
        <v>3401</v>
      </c>
      <c r="G29" s="53">
        <f>'DOE25'!K357+'DOE25'!K358+'DOE25'!K359</f>
        <v>2032.74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1182264.4936000002</v>
      </c>
      <c r="D31" s="20">
        <f>'DOE25'!L289+'DOE25'!L308+'DOE25'!L327+'DOE25'!L332+'DOE25'!L333+'DOE25'!L334-F31-G31</f>
        <v>1075868.5036000002</v>
      </c>
      <c r="E31" s="243"/>
      <c r="F31" s="255">
        <f>'DOE25'!J289+'DOE25'!J308+'DOE25'!J327+'DOE25'!J332+'DOE25'!J333+'DOE25'!J334</f>
        <v>89304.709999999992</v>
      </c>
      <c r="G31" s="53">
        <f>'DOE25'!K289+'DOE25'!K308+'DOE25'!K327+'DOE25'!K332+'DOE25'!K333+'DOE25'!K334</f>
        <v>17091.28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39936567.244186006</v>
      </c>
      <c r="E33" s="246">
        <f>SUM(E5:E31)</f>
        <v>1134890.0541810002</v>
      </c>
      <c r="F33" s="246">
        <f>SUM(F5:F31)</f>
        <v>525446.76</v>
      </c>
      <c r="G33" s="246">
        <f>SUM(G5:G31)</f>
        <v>169877.61</v>
      </c>
      <c r="H33" s="246">
        <f>SUM(H5:H31)</f>
        <v>1523659.13</v>
      </c>
    </row>
    <row r="35" spans="2:8" ht="12" thickBot="1" x14ac:dyDescent="0.25">
      <c r="B35" s="253" t="s">
        <v>847</v>
      </c>
      <c r="D35" s="254">
        <f>E33</f>
        <v>1134890.0541810002</v>
      </c>
      <c r="E35" s="249"/>
    </row>
    <row r="36" spans="2:8" ht="12" thickTop="1" x14ac:dyDescent="0.2">
      <c r="B36" t="s">
        <v>815</v>
      </c>
      <c r="D36" s="20">
        <f>D33</f>
        <v>39936567.244186006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51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Contoocook Valley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971250.16</v>
      </c>
      <c r="D8" s="95">
        <f>'DOE25'!G9</f>
        <v>7066.07</v>
      </c>
      <c r="E8" s="95">
        <f>'DOE25'!H9</f>
        <v>0</v>
      </c>
      <c r="F8" s="95">
        <f>'DOE25'!I9</f>
        <v>227882.57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5811.82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532913.13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502885.14</v>
      </c>
      <c r="D11" s="95">
        <f>'DOE25'!G12</f>
        <v>0</v>
      </c>
      <c r="E11" s="95">
        <f>'DOE25'!H12</f>
        <v>0</v>
      </c>
      <c r="F11" s="95">
        <f>'DOE25'!I12</f>
        <v>8068.2</v>
      </c>
      <c r="G11" s="95">
        <f>'DOE25'!J12</f>
        <v>250000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651302</v>
      </c>
      <c r="D12" s="95">
        <f>'DOE25'!G13</f>
        <v>66829.64</v>
      </c>
      <c r="E12" s="95">
        <f>'DOE25'!H13</f>
        <v>183124.19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63597.399999999951</v>
      </c>
      <c r="D13" s="95">
        <f>'DOE25'!G14</f>
        <v>31772.75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27126.240000000002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155247.63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2350094.15</v>
      </c>
      <c r="D18" s="41">
        <f>SUM(D8:D17)</f>
        <v>132794.69999999998</v>
      </c>
      <c r="E18" s="41">
        <f>SUM(E8:E17)</f>
        <v>183124.19</v>
      </c>
      <c r="F18" s="41">
        <f>SUM(F8:F17)</f>
        <v>235950.77000000002</v>
      </c>
      <c r="G18" s="41">
        <f>SUM(G8:G17)</f>
        <v>782913.13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250000</v>
      </c>
      <c r="D21" s="95">
        <f>'DOE25'!G22</f>
        <v>320979.71000000002</v>
      </c>
      <c r="E21" s="95">
        <f>'DOE25'!H22</f>
        <v>183124.19</v>
      </c>
      <c r="F21" s="95">
        <f>'DOE25'!I22</f>
        <v>0</v>
      </c>
      <c r="G21" s="95">
        <f>'DOE25'!J22</f>
        <v>1955.39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134941.75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4268</v>
      </c>
      <c r="D29" s="95">
        <f>'DOE25'!G30</f>
        <v>0</v>
      </c>
      <c r="E29" s="95">
        <f>'DOE25'!H30</f>
        <v>1158.31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389209.75</v>
      </c>
      <c r="D31" s="41">
        <f>SUM(D21:D30)</f>
        <v>320979.71000000002</v>
      </c>
      <c r="E31" s="41">
        <f>SUM(E21:E30)</f>
        <v>184282.5</v>
      </c>
      <c r="F31" s="41">
        <f>SUM(F21:F30)</f>
        <v>0</v>
      </c>
      <c r="G31" s="41">
        <f>SUM(G21:G30)</f>
        <v>1955.39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27126.240000000002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155247.63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-215311.25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292908.49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780957.74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566905.38</v>
      </c>
      <c r="D47" s="95">
        <f>'DOE25'!G48</f>
        <v>0</v>
      </c>
      <c r="E47" s="95">
        <f>'DOE25'!H48</f>
        <v>-1158.31</v>
      </c>
      <c r="F47" s="95">
        <f>'DOE25'!I48</f>
        <v>235950.77000000002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695822.9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1960884.4</v>
      </c>
      <c r="D49" s="41">
        <f>SUM(D34:D48)</f>
        <v>-188185.01</v>
      </c>
      <c r="E49" s="41">
        <f>SUM(E34:E48)</f>
        <v>-1158.31</v>
      </c>
      <c r="F49" s="41">
        <f>SUM(F34:F48)</f>
        <v>235950.77000000002</v>
      </c>
      <c r="G49" s="41">
        <f>SUM(G34:G48)</f>
        <v>780957.74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2350094.15</v>
      </c>
      <c r="D50" s="41">
        <f>D49+D31</f>
        <v>132794.70000000001</v>
      </c>
      <c r="E50" s="41">
        <f>E49+E31</f>
        <v>183124.19</v>
      </c>
      <c r="F50" s="41">
        <f>F49+F31</f>
        <v>235950.77000000002</v>
      </c>
      <c r="G50" s="41">
        <f>G49+G31</f>
        <v>782913.13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25980187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213346.83000000002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1335.29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3788.19</v>
      </c>
      <c r="D58" s="95">
        <f>'DOE25'!G95</f>
        <v>107.96</v>
      </c>
      <c r="E58" s="95">
        <f>'DOE25'!H95</f>
        <v>0</v>
      </c>
      <c r="F58" s="95">
        <f>'DOE25'!I95</f>
        <v>0</v>
      </c>
      <c r="G58" s="95">
        <f>'DOE25'!J95</f>
        <v>1330.15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557501.85000000009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39559.800000000003</v>
      </c>
      <c r="D60" s="95">
        <f>SUM('DOE25'!G97:G109)</f>
        <v>22825.399999999998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258030.11000000004</v>
      </c>
      <c r="D61" s="130">
        <f>SUM(D56:D60)</f>
        <v>580435.21000000008</v>
      </c>
      <c r="E61" s="130">
        <f>SUM(E56:E60)</f>
        <v>0</v>
      </c>
      <c r="F61" s="130">
        <f>SUM(F56:F60)</f>
        <v>0</v>
      </c>
      <c r="G61" s="130">
        <f>SUM(G56:G60)</f>
        <v>1330.15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26238217.109999999</v>
      </c>
      <c r="D62" s="22">
        <f>D55+D61</f>
        <v>580435.21000000008</v>
      </c>
      <c r="E62" s="22">
        <f>E55+E61</f>
        <v>0</v>
      </c>
      <c r="F62" s="22">
        <f>F55+F61</f>
        <v>0</v>
      </c>
      <c r="G62" s="22">
        <f>G55+G61</f>
        <v>1330.15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8859888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5006670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13866558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1258408.75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461896.92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48360.369999999995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12825.42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1768666.04</v>
      </c>
      <c r="D77" s="130">
        <f>SUM(D71:D76)</f>
        <v>12825.42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15635224.039999999</v>
      </c>
      <c r="D80" s="130">
        <f>SUM(D78:D79)+D77+D69</f>
        <v>12825.42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335447.18</v>
      </c>
      <c r="D87" s="95">
        <f>SUM('DOE25'!G152:G160)</f>
        <v>381867.79</v>
      </c>
      <c r="E87" s="95">
        <f>SUM('DOE25'!H152:H160)</f>
        <v>1219741.5699999998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335447.18</v>
      </c>
      <c r="D90" s="131">
        <f>SUM(D84:D89)</f>
        <v>381867.79</v>
      </c>
      <c r="E90" s="131">
        <f>SUM(E84:E89)</f>
        <v>1219741.5699999998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4000596.78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281829.66000000003</v>
      </c>
      <c r="E95" s="95">
        <f>'DOE25'!H178</f>
        <v>0</v>
      </c>
      <c r="F95" s="95">
        <f>'DOE25'!I178</f>
        <v>0</v>
      </c>
      <c r="G95" s="95">
        <f>'DOE25'!J178</f>
        <v>200000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281829.66000000003</v>
      </c>
      <c r="E102" s="86">
        <f>SUM(E92:E101)</f>
        <v>0</v>
      </c>
      <c r="F102" s="86">
        <f>SUM(F92:F101)</f>
        <v>4000596.78</v>
      </c>
      <c r="G102" s="86">
        <f>SUM(G92:G101)</f>
        <v>200000</v>
      </c>
    </row>
    <row r="103" spans="1:7" ht="12.75" thickTop="1" thickBot="1" x14ac:dyDescent="0.25">
      <c r="A103" s="33" t="s">
        <v>765</v>
      </c>
      <c r="C103" s="86">
        <f>C62+C80+C90+C102</f>
        <v>42208888.329999998</v>
      </c>
      <c r="D103" s="86">
        <f>D62+D80+D90+D102</f>
        <v>1256958.08</v>
      </c>
      <c r="E103" s="86">
        <f>E62+E80+E90+E102</f>
        <v>1219741.5699999998</v>
      </c>
      <c r="F103" s="86">
        <f>F62+F80+F90+F102</f>
        <v>4000596.78</v>
      </c>
      <c r="G103" s="86">
        <f>G62+G80+G102</f>
        <v>201330.15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14563030.238839999</v>
      </c>
      <c r="D108" s="24" t="s">
        <v>289</v>
      </c>
      <c r="E108" s="95">
        <f>('DOE25'!L275)+('DOE25'!L294)+('DOE25'!L313)</f>
        <v>432097.97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8468861.6254300009</v>
      </c>
      <c r="D109" s="24" t="s">
        <v>289</v>
      </c>
      <c r="E109" s="95">
        <f>('DOE25'!L276)+('DOE25'!L295)+('DOE25'!L314)</f>
        <v>549860.40360000008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1050839.3925239998</v>
      </c>
      <c r="D110" s="24" t="s">
        <v>289</v>
      </c>
      <c r="E110" s="95">
        <f>('DOE25'!L277)+('DOE25'!L296)+('DOE25'!L315)</f>
        <v>84664.109999999986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859265.00380399998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23827.760000000002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24941996.260598</v>
      </c>
      <c r="D114" s="86">
        <f>SUM(D108:D113)</f>
        <v>0</v>
      </c>
      <c r="E114" s="86">
        <f>SUM(E108:E113)</f>
        <v>1090450.2435999999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2264005.47089</v>
      </c>
      <c r="D117" s="24" t="s">
        <v>289</v>
      </c>
      <c r="E117" s="95">
        <f>+('DOE25'!L280)+('DOE25'!L299)+('DOE25'!L318)</f>
        <v>6079.5999999999995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1464748.1131729998</v>
      </c>
      <c r="D118" s="24" t="s">
        <v>289</v>
      </c>
      <c r="E118" s="95">
        <f>+('DOE25'!L281)+('DOE25'!L300)+('DOE25'!L319)</f>
        <v>76327.03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1888780.2041810001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2739722.9990289998</v>
      </c>
      <c r="D120" s="24" t="s">
        <v>289</v>
      </c>
      <c r="E120" s="95">
        <f>+('DOE25'!L283)+('DOE25'!L302)+('DOE25'!L321)</f>
        <v>5328.02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1523.78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4260630.393096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2079466.63</v>
      </c>
      <c r="D123" s="24" t="s">
        <v>289</v>
      </c>
      <c r="E123" s="95">
        <f>+('DOE25'!L286)+('DOE25'!L305)+('DOE25'!L324)</f>
        <v>2555.8200000000002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64233.37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1324320.5837999999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14761587.180368999</v>
      </c>
      <c r="D127" s="86">
        <f>SUM(D117:D126)</f>
        <v>1324320.5837999999</v>
      </c>
      <c r="E127" s="86">
        <f>SUM(E117:E126)</f>
        <v>91814.250000000015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3764656.0000000005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986750.8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536908.32999999996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37477.08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281829.66000000003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101307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100023.15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-1330.1499999999942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2005488.79</v>
      </c>
      <c r="D143" s="141">
        <f>SUM(D129:D142)</f>
        <v>0</v>
      </c>
      <c r="E143" s="141">
        <f>SUM(E129:E142)</f>
        <v>37477.08</v>
      </c>
      <c r="F143" s="141">
        <f>SUM(F129:F142)</f>
        <v>3764656.0000000005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41709072.230967</v>
      </c>
      <c r="D144" s="86">
        <f>(D114+D127+D143)</f>
        <v>1324320.5837999999</v>
      </c>
      <c r="E144" s="86">
        <f>(E114+E127+E143)</f>
        <v>1219741.5736</v>
      </c>
      <c r="F144" s="86">
        <f>(F114+F127+F143)</f>
        <v>3764656.0000000005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 t="str">
        <f>'DOE25'!F489</f>
        <v>10 Years</v>
      </c>
      <c r="C150" s="153" t="str">
        <f>'DOE25'!G489</f>
        <v>15 Years</v>
      </c>
      <c r="D150" s="153" t="str">
        <f>'DOE25'!H489</f>
        <v>10 Years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03/2002</v>
      </c>
      <c r="C151" s="152" t="str">
        <f>'DOE25'!G490</f>
        <v>10/1998</v>
      </c>
      <c r="D151" s="152" t="str">
        <f>'DOE25'!H490</f>
        <v>12/2012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07/2012</v>
      </c>
      <c r="C152" s="152" t="str">
        <f>'DOE25'!G491</f>
        <v>10/2012</v>
      </c>
      <c r="D152" s="152" t="str">
        <f>'DOE25'!H491</f>
        <v>02/2023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9000000</v>
      </c>
      <c r="C153" s="137">
        <f>'DOE25'!G492</f>
        <v>14475000</v>
      </c>
      <c r="D153" s="137">
        <f>'DOE25'!H492</f>
        <v>3575000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4.78</v>
      </c>
      <c r="C154" s="137">
        <f>'DOE25'!G493</f>
        <v>4.7</v>
      </c>
      <c r="D154" s="137">
        <f>'DOE25'!H493</f>
        <v>1.69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545739</v>
      </c>
      <c r="C155" s="137">
        <f>'DOE25'!G494</f>
        <v>441372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987111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3575000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3575000</v>
      </c>
    </row>
    <row r="157" spans="1:9" x14ac:dyDescent="0.2">
      <c r="A157" s="22" t="s">
        <v>34</v>
      </c>
      <c r="B157" s="137">
        <f>'DOE25'!F496</f>
        <v>545739</v>
      </c>
      <c r="C157" s="137">
        <f>'DOE25'!G496</f>
        <v>441372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987111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3575000</v>
      </c>
      <c r="E158" s="137">
        <f>'DOE25'!I497</f>
        <v>0</v>
      </c>
      <c r="F158" s="137">
        <f>'DOE25'!J497</f>
        <v>0</v>
      </c>
      <c r="G158" s="138">
        <f t="shared" si="0"/>
        <v>3575000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796678</v>
      </c>
      <c r="E159" s="137">
        <f>'DOE25'!I498</f>
        <v>0</v>
      </c>
      <c r="F159" s="137">
        <f>'DOE25'!J498</f>
        <v>0</v>
      </c>
      <c r="G159" s="138">
        <f t="shared" si="0"/>
        <v>796678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4371678</v>
      </c>
      <c r="E160" s="137">
        <f>'DOE25'!I499</f>
        <v>0</v>
      </c>
      <c r="F160" s="137">
        <f>'DOE25'!J499</f>
        <v>0</v>
      </c>
      <c r="G160" s="138">
        <f t="shared" si="0"/>
        <v>4371678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360000</v>
      </c>
      <c r="E161" s="137">
        <f>'DOE25'!I500</f>
        <v>0</v>
      </c>
      <c r="F161" s="137">
        <f>'DOE25'!J500</f>
        <v>0</v>
      </c>
      <c r="G161" s="138">
        <f t="shared" si="0"/>
        <v>360000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143953</v>
      </c>
      <c r="E162" s="137">
        <f>'DOE25'!I501</f>
        <v>0</v>
      </c>
      <c r="F162" s="137">
        <f>'DOE25'!J501</f>
        <v>0</v>
      </c>
      <c r="G162" s="138">
        <f t="shared" si="0"/>
        <v>143953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503953</v>
      </c>
      <c r="E163" s="137">
        <f>'DOE25'!I502</f>
        <v>0</v>
      </c>
      <c r="F163" s="137">
        <f>'DOE25'!J502</f>
        <v>0</v>
      </c>
      <c r="G163" s="138">
        <f t="shared" si="0"/>
        <v>503953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Contoocook Valley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16884</v>
      </c>
    </row>
    <row r="5" spans="1:4" x14ac:dyDescent="0.2">
      <c r="B5" t="s">
        <v>704</v>
      </c>
      <c r="C5" s="179">
        <f>IF('DOE25'!G664+'DOE25'!G669=0,0,ROUND('DOE25'!G671,0))</f>
        <v>16309</v>
      </c>
    </row>
    <row r="6" spans="1:4" x14ac:dyDescent="0.2">
      <c r="B6" t="s">
        <v>62</v>
      </c>
      <c r="C6" s="179">
        <f>IF('DOE25'!H664+'DOE25'!H669=0,0,ROUND('DOE25'!H671,0))</f>
        <v>16142</v>
      </c>
    </row>
    <row r="7" spans="1:4" x14ac:dyDescent="0.2">
      <c r="B7" t="s">
        <v>705</v>
      </c>
      <c r="C7" s="179">
        <f>IF('DOE25'!I664+'DOE25'!I669=0,0,ROUND('DOE25'!I671,0))</f>
        <v>16433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14995128</v>
      </c>
      <c r="D10" s="182">
        <f>ROUND((C10/$C$28)*100,1)</f>
        <v>35.6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9018722</v>
      </c>
      <c r="D11" s="182">
        <f>ROUND((C11/$C$28)*100,1)</f>
        <v>21.4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1135504</v>
      </c>
      <c r="D12" s="182">
        <f>ROUND((C12/$C$28)*100,1)</f>
        <v>2.7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859265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2270085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1541075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1953014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2745051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1524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4260630</v>
      </c>
      <c r="D20" s="182">
        <f t="shared" si="0"/>
        <v>10.1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2082022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23828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536908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743993.74999999988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42166749.75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3764656</v>
      </c>
    </row>
    <row r="30" spans="1:4" x14ac:dyDescent="0.2">
      <c r="B30" s="187" t="s">
        <v>729</v>
      </c>
      <c r="C30" s="180">
        <f>SUM(C28:C29)</f>
        <v>45931405.75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986751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25980187</v>
      </c>
      <c r="D35" s="182">
        <f t="shared" ref="D35:D40" si="1">ROUND((C35/$C$41)*100,1)</f>
        <v>59.3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260064.99999999627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13866558</v>
      </c>
      <c r="D37" s="182">
        <f t="shared" si="1"/>
        <v>31.6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1781491</v>
      </c>
      <c r="D38" s="182">
        <f t="shared" si="1"/>
        <v>4.0999999999999996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1937057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43825358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4000000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Contoocook Valley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>
        <v>62</v>
      </c>
      <c r="C4" s="287" t="s">
        <v>918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>
        <v>85</v>
      </c>
      <c r="C5" s="287" t="s">
        <v>919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2013-09-23T12:18:05Z</cp:lastPrinted>
  <dcterms:created xsi:type="dcterms:W3CDTF">1997-12-04T19:04:30Z</dcterms:created>
  <dcterms:modified xsi:type="dcterms:W3CDTF">2013-12-05T18:37:25Z</dcterms:modified>
</cp:coreProperties>
</file>