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3" i="1" l="1"/>
  <c r="I603" i="1"/>
  <c r="H603" i="1"/>
  <c r="G232" i="1"/>
  <c r="F232" i="1"/>
  <c r="G214" i="1"/>
  <c r="F214" i="1"/>
  <c r="F228" i="1" s="1"/>
  <c r="G196" i="1"/>
  <c r="F196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E13" i="13"/>
  <c r="C13" i="13" s="1"/>
  <c r="L205" i="1"/>
  <c r="L223" i="1"/>
  <c r="L241" i="1"/>
  <c r="F16" i="13"/>
  <c r="G16" i="13"/>
  <c r="L208" i="1"/>
  <c r="L226" i="1"/>
  <c r="L244" i="1"/>
  <c r="C17" i="10" s="1"/>
  <c r="F5" i="13"/>
  <c r="G5" i="13"/>
  <c r="G33" i="13" s="1"/>
  <c r="L197" i="1"/>
  <c r="L198" i="1"/>
  <c r="L199" i="1"/>
  <c r="L214" i="1"/>
  <c r="L228" i="1" s="1"/>
  <c r="G659" i="1" s="1"/>
  <c r="L215" i="1"/>
  <c r="L216" i="1"/>
  <c r="L217" i="1"/>
  <c r="L233" i="1"/>
  <c r="L234" i="1"/>
  <c r="L235" i="1"/>
  <c r="C13" i="10" s="1"/>
  <c r="F6" i="13"/>
  <c r="G6" i="13"/>
  <c r="L201" i="1"/>
  <c r="L219" i="1"/>
  <c r="D6" i="13" s="1"/>
  <c r="C6" i="13" s="1"/>
  <c r="F7" i="13"/>
  <c r="G7" i="13"/>
  <c r="L202" i="1"/>
  <c r="L220" i="1"/>
  <c r="C118" i="2" s="1"/>
  <c r="L238" i="1"/>
  <c r="F12" i="13"/>
  <c r="G12" i="13"/>
  <c r="L204" i="1"/>
  <c r="L222" i="1"/>
  <c r="L240" i="1"/>
  <c r="F14" i="13"/>
  <c r="G14" i="13"/>
  <c r="L206" i="1"/>
  <c r="L224" i="1"/>
  <c r="D14" i="13" s="1"/>
  <c r="L242" i="1"/>
  <c r="C122" i="2"/>
  <c r="F15" i="13"/>
  <c r="G15" i="13"/>
  <c r="L207" i="1"/>
  <c r="L225" i="1"/>
  <c r="G649" i="1" s="1"/>
  <c r="L243" i="1"/>
  <c r="F17" i="13"/>
  <c r="G17" i="13"/>
  <c r="C17" i="13"/>
  <c r="L250" i="1"/>
  <c r="D17" i="13" s="1"/>
  <c r="F18" i="13"/>
  <c r="G18" i="13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L275" i="1"/>
  <c r="L276" i="1"/>
  <c r="L277" i="1"/>
  <c r="L278" i="1"/>
  <c r="L280" i="1"/>
  <c r="L281" i="1"/>
  <c r="L282" i="1"/>
  <c r="L283" i="1"/>
  <c r="E120" i="2" s="1"/>
  <c r="L284" i="1"/>
  <c r="L285" i="1"/>
  <c r="E122" i="2" s="1"/>
  <c r="L286" i="1"/>
  <c r="F661" i="1"/>
  <c r="L287" i="1"/>
  <c r="L294" i="1"/>
  <c r="L295" i="1"/>
  <c r="L296" i="1"/>
  <c r="L297" i="1"/>
  <c r="L299" i="1"/>
  <c r="L300" i="1"/>
  <c r="L301" i="1"/>
  <c r="L302" i="1"/>
  <c r="L303" i="1"/>
  <c r="E121" i="2" s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/>
  <c r="L325" i="1"/>
  <c r="L332" i="1"/>
  <c r="L333" i="1"/>
  <c r="L334" i="1"/>
  <c r="L259" i="1"/>
  <c r="L260" i="1"/>
  <c r="L340" i="1"/>
  <c r="L341" i="1"/>
  <c r="C25" i="10" s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13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6" i="1" s="1"/>
  <c r="C139" i="2" s="1"/>
  <c r="L403" i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C55" i="2"/>
  <c r="G59" i="1"/>
  <c r="D55" i="2"/>
  <c r="H59" i="1"/>
  <c r="I59" i="1"/>
  <c r="F78" i="1"/>
  <c r="F111" i="1"/>
  <c r="F93" i="1"/>
  <c r="C57" i="2"/>
  <c r="F110" i="1"/>
  <c r="G110" i="1"/>
  <c r="G111" i="1" s="1"/>
  <c r="H78" i="1"/>
  <c r="H93" i="1"/>
  <c r="E57" i="2"/>
  <c r="H110" i="1"/>
  <c r="H111" i="1"/>
  <c r="I110" i="1"/>
  <c r="J110" i="1"/>
  <c r="J111" i="1"/>
  <c r="F120" i="1"/>
  <c r="F139" i="1"/>
  <c r="C38" i="10" s="1"/>
  <c r="F135" i="1"/>
  <c r="G120" i="1"/>
  <c r="G135" i="1"/>
  <c r="G139" i="1"/>
  <c r="H120" i="1"/>
  <c r="H135" i="1"/>
  <c r="H139" i="1" s="1"/>
  <c r="I120" i="1"/>
  <c r="I135" i="1"/>
  <c r="J120" i="1"/>
  <c r="J135" i="1"/>
  <c r="F146" i="1"/>
  <c r="C84" i="2"/>
  <c r="C90" i="2" s="1"/>
  <c r="F161" i="1"/>
  <c r="F168" i="1"/>
  <c r="G146" i="1"/>
  <c r="G161" i="1"/>
  <c r="G168" i="1" s="1"/>
  <c r="C39" i="10" s="1"/>
  <c r="H146" i="1"/>
  <c r="E84" i="2"/>
  <c r="E90" i="2" s="1"/>
  <c r="H161" i="1"/>
  <c r="H168" i="1"/>
  <c r="I146" i="1"/>
  <c r="F84" i="2"/>
  <c r="F90" i="2" s="1"/>
  <c r="I161" i="1"/>
  <c r="L249" i="1"/>
  <c r="C112" i="2" s="1"/>
  <c r="L331" i="1"/>
  <c r="C23" i="10"/>
  <c r="L253" i="1"/>
  <c r="L267" i="1"/>
  <c r="L268" i="1"/>
  <c r="C142" i="2"/>
  <c r="L348" i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/>
  <c r="L344" i="1"/>
  <c r="E134" i="2"/>
  <c r="L345" i="1"/>
  <c r="E136" i="2"/>
  <c r="L346" i="1"/>
  <c r="K350" i="1"/>
  <c r="L520" i="1"/>
  <c r="L523" i="1"/>
  <c r="L521" i="1"/>
  <c r="F549" i="1"/>
  <c r="L522" i="1"/>
  <c r="F550" i="1"/>
  <c r="L525" i="1"/>
  <c r="G548" i="1"/>
  <c r="G551" i="1" s="1"/>
  <c r="L526" i="1"/>
  <c r="G549" i="1"/>
  <c r="L527" i="1"/>
  <c r="G550" i="1"/>
  <c r="L530" i="1"/>
  <c r="H548" i="1"/>
  <c r="H551" i="1" s="1"/>
  <c r="L531" i="1"/>
  <c r="H549" i="1"/>
  <c r="L532" i="1"/>
  <c r="H550" i="1"/>
  <c r="L535" i="1"/>
  <c r="I548" i="1"/>
  <c r="L536" i="1"/>
  <c r="I549" i="1"/>
  <c r="L537" i="1"/>
  <c r="I550" i="1"/>
  <c r="L540" i="1"/>
  <c r="J548" i="1" s="1"/>
  <c r="L541" i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E18" i="2" s="1"/>
  <c r="F17" i="2"/>
  <c r="I444" i="1"/>
  <c r="J18" i="1" s="1"/>
  <c r="G17" i="2" s="1"/>
  <c r="C21" i="2"/>
  <c r="D21" i="2"/>
  <c r="E21" i="2"/>
  <c r="F21" i="2"/>
  <c r="I447" i="1"/>
  <c r="J22" i="1" s="1"/>
  <c r="C22" i="2"/>
  <c r="C31" i="2" s="1"/>
  <c r="D22" i="2"/>
  <c r="E22" i="2"/>
  <c r="E31" i="2" s="1"/>
  <c r="E50" i="2" s="1"/>
  <c r="F22" i="2"/>
  <c r="I448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G36" i="2"/>
  <c r="G49" i="2" s="1"/>
  <c r="I458" i="1"/>
  <c r="J47" i="1"/>
  <c r="C48" i="2"/>
  <c r="E55" i="2"/>
  <c r="E56" i="2"/>
  <c r="C58" i="2"/>
  <c r="D58" i="2"/>
  <c r="E58" i="2"/>
  <c r="F58" i="2"/>
  <c r="D59" i="2"/>
  <c r="C60" i="2"/>
  <c r="D60" i="2"/>
  <c r="E60" i="2"/>
  <c r="E61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C77" i="2" s="1"/>
  <c r="D76" i="2"/>
  <c r="D77" i="2"/>
  <c r="E76" i="2"/>
  <c r="E77" i="2"/>
  <c r="F76" i="2"/>
  <c r="F77" i="2" s="1"/>
  <c r="F80" i="2" s="1"/>
  <c r="G76" i="2"/>
  <c r="G77" i="2"/>
  <c r="C78" i="2"/>
  <c r="D78" i="2"/>
  <c r="E78" i="2"/>
  <c r="C79" i="2"/>
  <c r="E79" i="2"/>
  <c r="D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E112" i="2"/>
  <c r="D114" i="2"/>
  <c r="F114" i="2"/>
  <c r="G114" i="2"/>
  <c r="F127" i="2"/>
  <c r="G127" i="2"/>
  <c r="C129" i="2"/>
  <c r="D133" i="2"/>
  <c r="D143" i="2" s="1"/>
  <c r="F133" i="2"/>
  <c r="K418" i="1"/>
  <c r="K426" i="1"/>
  <c r="K433" i="1" s="1"/>
  <c r="G133" i="2" s="1"/>
  <c r="G143" i="2" s="1"/>
  <c r="K432" i="1"/>
  <c r="L262" i="1"/>
  <c r="C134" i="2" s="1"/>
  <c r="L263" i="1"/>
  <c r="C135" i="2" s="1"/>
  <c r="L264" i="1"/>
  <c r="C136" i="2" s="1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G161" i="2" s="1"/>
  <c r="E161" i="2"/>
  <c r="F161" i="2"/>
  <c r="B162" i="2"/>
  <c r="C162" i="2"/>
  <c r="D162" i="2"/>
  <c r="E162" i="2"/>
  <c r="F162" i="2"/>
  <c r="F502" i="1"/>
  <c r="B163" i="2" s="1"/>
  <c r="G502" i="1"/>
  <c r="C163" i="2"/>
  <c r="G163" i="2" s="1"/>
  <c r="H502" i="1"/>
  <c r="D163" i="2"/>
  <c r="I502" i="1"/>
  <c r="E163" i="2"/>
  <c r="J502" i="1"/>
  <c r="F163" i="2"/>
  <c r="G19" i="1"/>
  <c r="G617" i="1"/>
  <c r="H19" i="1"/>
  <c r="G618" i="1"/>
  <c r="I19" i="1"/>
  <c r="F32" i="1"/>
  <c r="G32" i="1"/>
  <c r="H32" i="1"/>
  <c r="I32" i="1"/>
  <c r="F50" i="1"/>
  <c r="G621" i="1" s="1"/>
  <c r="G50" i="1"/>
  <c r="G51" i="1" s="1"/>
  <c r="H617" i="1" s="1"/>
  <c r="J617" i="1" s="1"/>
  <c r="H50" i="1"/>
  <c r="G623" i="1"/>
  <c r="I50" i="1"/>
  <c r="I51" i="1"/>
  <c r="H619" i="1" s="1"/>
  <c r="F176" i="1"/>
  <c r="I176" i="1"/>
  <c r="F182" i="1"/>
  <c r="G182" i="1"/>
  <c r="H182" i="1"/>
  <c r="H191" i="1" s="1"/>
  <c r="I182" i="1"/>
  <c r="J182" i="1"/>
  <c r="F187" i="1"/>
  <c r="G187" i="1"/>
  <c r="H187" i="1"/>
  <c r="I187" i="1"/>
  <c r="G210" i="1"/>
  <c r="H210" i="1"/>
  <c r="I210" i="1"/>
  <c r="J210" i="1"/>
  <c r="K210" i="1"/>
  <c r="G228" i="1"/>
  <c r="H228" i="1"/>
  <c r="I228" i="1"/>
  <c r="J228" i="1"/>
  <c r="K228" i="1"/>
  <c r="G246" i="1"/>
  <c r="G256" i="1" s="1"/>
  <c r="I246" i="1"/>
  <c r="J246" i="1"/>
  <c r="J256" i="1" s="1"/>
  <c r="K246" i="1"/>
  <c r="F255" i="1"/>
  <c r="L255" i="1" s="1"/>
  <c r="G255" i="1"/>
  <c r="H255" i="1"/>
  <c r="I255" i="1"/>
  <c r="J255" i="1"/>
  <c r="K255" i="1"/>
  <c r="F289" i="1"/>
  <c r="G289" i="1"/>
  <c r="H289" i="1"/>
  <c r="H337" i="1" s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/>
  <c r="J633" i="1" s="1"/>
  <c r="J361" i="1"/>
  <c r="K361" i="1"/>
  <c r="I367" i="1"/>
  <c r="I368" i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L418" i="1" s="1"/>
  <c r="F418" i="1"/>
  <c r="G418" i="1"/>
  <c r="H418" i="1"/>
  <c r="I418" i="1"/>
  <c r="I433" i="1" s="1"/>
  <c r="J418" i="1"/>
  <c r="L420" i="1"/>
  <c r="L421" i="1"/>
  <c r="L422" i="1"/>
  <c r="L423" i="1"/>
  <c r="L424" i="1"/>
  <c r="L425" i="1"/>
  <c r="F426" i="1"/>
  <c r="F433" i="1" s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/>
  <c r="F451" i="1"/>
  <c r="G451" i="1"/>
  <c r="G460" i="1" s="1"/>
  <c r="H639" i="1" s="1"/>
  <c r="H451" i="1"/>
  <c r="F459" i="1"/>
  <c r="F460" i="1" s="1"/>
  <c r="H638" i="1" s="1"/>
  <c r="J638" i="1" s="1"/>
  <c r="G459" i="1"/>
  <c r="H459" i="1"/>
  <c r="H460" i="1" s="1"/>
  <c r="H640" i="1" s="1"/>
  <c r="F469" i="1"/>
  <c r="G469" i="1"/>
  <c r="G475" i="1"/>
  <c r="H622" i="1" s="1"/>
  <c r="H469" i="1"/>
  <c r="I469" i="1"/>
  <c r="I475" i="1"/>
  <c r="H624" i="1" s="1"/>
  <c r="J624" i="1" s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H544" i="1" s="1"/>
  <c r="I523" i="1"/>
  <c r="J523" i="1"/>
  <c r="J544" i="1" s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9" i="1"/>
  <c r="L558" i="1"/>
  <c r="F559" i="1"/>
  <c r="G559" i="1"/>
  <c r="H559" i="1"/>
  <c r="I559" i="1"/>
  <c r="I570" i="1" s="1"/>
  <c r="J559" i="1"/>
  <c r="K559" i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H649" i="1" s="1"/>
  <c r="J649" i="1"/>
  <c r="J597" i="1"/>
  <c r="H650" i="1"/>
  <c r="K601" i="1"/>
  <c r="K602" i="1"/>
  <c r="K603" i="1"/>
  <c r="K604" i="1"/>
  <c r="G647" i="1" s="1"/>
  <c r="H604" i="1"/>
  <c r="I604" i="1"/>
  <c r="J604" i="1"/>
  <c r="F613" i="1"/>
  <c r="G613" i="1"/>
  <c r="H613" i="1"/>
  <c r="I613" i="1"/>
  <c r="J613" i="1"/>
  <c r="K613" i="1"/>
  <c r="G619" i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J642" i="1" s="1"/>
  <c r="G643" i="1"/>
  <c r="G651" i="1"/>
  <c r="J651" i="1" s="1"/>
  <c r="H651" i="1"/>
  <c r="G652" i="1"/>
  <c r="J652" i="1" s="1"/>
  <c r="H652" i="1"/>
  <c r="G653" i="1"/>
  <c r="J653" i="1" s="1"/>
  <c r="H653" i="1"/>
  <c r="H654" i="1"/>
  <c r="J654" i="1" s="1"/>
  <c r="F49" i="2"/>
  <c r="F50" i="2" s="1"/>
  <c r="G162" i="2"/>
  <c r="G157" i="2"/>
  <c r="G155" i="2"/>
  <c r="G61" i="2"/>
  <c r="G62" i="2" s="1"/>
  <c r="J139" i="1"/>
  <c r="K570" i="1"/>
  <c r="L533" i="1"/>
  <c r="K544" i="1"/>
  <c r="L426" i="1"/>
  <c r="I407" i="1"/>
  <c r="H407" i="1"/>
  <c r="H643" i="1" s="1"/>
  <c r="F407" i="1"/>
  <c r="H642" i="1" s="1"/>
  <c r="F129" i="2"/>
  <c r="F22" i="13"/>
  <c r="C22" i="13" s="1"/>
  <c r="L327" i="1"/>
  <c r="E124" i="2"/>
  <c r="K337" i="1"/>
  <c r="E119" i="2"/>
  <c r="D18" i="13"/>
  <c r="C18" i="13" s="1"/>
  <c r="G650" i="1"/>
  <c r="C14" i="13"/>
  <c r="G191" i="1"/>
  <c r="E102" i="2"/>
  <c r="F102" i="2"/>
  <c r="I168" i="1"/>
  <c r="C35" i="10"/>
  <c r="E49" i="2"/>
  <c r="C49" i="2"/>
  <c r="F31" i="2"/>
  <c r="F18" i="2"/>
  <c r="G31" i="13"/>
  <c r="I191" i="1"/>
  <c r="G21" i="2"/>
  <c r="J433" i="1"/>
  <c r="G16" i="2"/>
  <c r="J619" i="1"/>
  <c r="I139" i="1"/>
  <c r="G570" i="1"/>
  <c r="H246" i="1"/>
  <c r="H256" i="1" s="1"/>
  <c r="H270" i="1" s="1"/>
  <c r="L237" i="1"/>
  <c r="L528" i="1"/>
  <c r="F548" i="1"/>
  <c r="J475" i="1"/>
  <c r="H625" i="1" s="1"/>
  <c r="L400" i="1"/>
  <c r="C138" i="2" s="1"/>
  <c r="L381" i="1"/>
  <c r="G635" i="1" s="1"/>
  <c r="J635" i="1" s="1"/>
  <c r="C119" i="2"/>
  <c r="E16" i="13"/>
  <c r="C16" i="13" s="1"/>
  <c r="D15" i="13"/>
  <c r="C15" i="13" s="1"/>
  <c r="H646" i="1"/>
  <c r="G648" i="1"/>
  <c r="F51" i="1"/>
  <c r="H616" i="1"/>
  <c r="A40" i="12"/>
  <c r="I662" i="1"/>
  <c r="L613" i="1"/>
  <c r="K597" i="1"/>
  <c r="G646" i="1" s="1"/>
  <c r="J646" i="1" s="1"/>
  <c r="J650" i="1"/>
  <c r="F544" i="1"/>
  <c r="K550" i="1"/>
  <c r="I544" i="1"/>
  <c r="K502" i="1"/>
  <c r="J622" i="1"/>
  <c r="J639" i="1"/>
  <c r="G46" i="2"/>
  <c r="G8" i="2"/>
  <c r="G18" i="2" s="1"/>
  <c r="J19" i="1"/>
  <c r="G620" i="1" s="1"/>
  <c r="G407" i="1"/>
  <c r="H644" i="1" s="1"/>
  <c r="J643" i="1"/>
  <c r="G660" i="1"/>
  <c r="I660" i="1" s="1"/>
  <c r="D29" i="13"/>
  <c r="C29" i="13"/>
  <c r="L361" i="1"/>
  <c r="C27" i="10"/>
  <c r="H660" i="1"/>
  <c r="D126" i="2"/>
  <c r="D127" i="2" s="1"/>
  <c r="D144" i="2"/>
  <c r="F660" i="1"/>
  <c r="L336" i="1"/>
  <c r="L337" i="1" s="1"/>
  <c r="E117" i="2"/>
  <c r="I337" i="1"/>
  <c r="I351" i="1" s="1"/>
  <c r="E110" i="2"/>
  <c r="G337" i="1"/>
  <c r="G351" i="1"/>
  <c r="E108" i="2"/>
  <c r="F337" i="1"/>
  <c r="F351" i="1" s="1"/>
  <c r="E118" i="2"/>
  <c r="H351" i="1"/>
  <c r="L308" i="1"/>
  <c r="C21" i="10"/>
  <c r="E123" i="2"/>
  <c r="E111" i="2"/>
  <c r="L289" i="1"/>
  <c r="E109" i="2"/>
  <c r="C131" i="2"/>
  <c r="H25" i="13"/>
  <c r="C130" i="2"/>
  <c r="C32" i="10"/>
  <c r="C120" i="2"/>
  <c r="C110" i="2"/>
  <c r="J270" i="1"/>
  <c r="C9" i="12"/>
  <c r="G270" i="1"/>
  <c r="F33" i="13"/>
  <c r="C15" i="10"/>
  <c r="C11" i="10"/>
  <c r="I256" i="1"/>
  <c r="I270" i="1" s="1"/>
  <c r="B9" i="12"/>
  <c r="A13" i="12" s="1"/>
  <c r="C16" i="10"/>
  <c r="C109" i="2"/>
  <c r="H192" i="1"/>
  <c r="G628" i="1" s="1"/>
  <c r="J628" i="1"/>
  <c r="C56" i="2"/>
  <c r="C61" i="2" s="1"/>
  <c r="C62" i="2"/>
  <c r="H51" i="1"/>
  <c r="H618" i="1"/>
  <c r="C50" i="2"/>
  <c r="D31" i="2"/>
  <c r="D50" i="2"/>
  <c r="J618" i="1"/>
  <c r="D18" i="2"/>
  <c r="G634" i="1"/>
  <c r="J634" i="1" s="1"/>
  <c r="E127" i="2"/>
  <c r="D31" i="13"/>
  <c r="C31" i="13" s="1"/>
  <c r="A31" i="12"/>
  <c r="A22" i="12"/>
  <c r="C25" i="13" l="1"/>
  <c r="H33" i="13"/>
  <c r="G192" i="1"/>
  <c r="G627" i="1" s="1"/>
  <c r="J627" i="1" s="1"/>
  <c r="H475" i="1"/>
  <c r="H623" i="1" s="1"/>
  <c r="J623" i="1" s="1"/>
  <c r="J640" i="1"/>
  <c r="E62" i="2"/>
  <c r="J23" i="1"/>
  <c r="I451" i="1"/>
  <c r="J549" i="1"/>
  <c r="J551" i="1" s="1"/>
  <c r="L543" i="1"/>
  <c r="L544" i="1" s="1"/>
  <c r="I551" i="1"/>
  <c r="C141" i="2"/>
  <c r="C26" i="10"/>
  <c r="C113" i="2"/>
  <c r="C24" i="10"/>
  <c r="C18" i="10"/>
  <c r="C12" i="10"/>
  <c r="D5" i="13"/>
  <c r="D7" i="13"/>
  <c r="C7" i="13" s="1"/>
  <c r="C111" i="2"/>
  <c r="C117" i="2"/>
  <c r="D12" i="13"/>
  <c r="C12" i="13" s="1"/>
  <c r="I459" i="1"/>
  <c r="J50" i="1"/>
  <c r="F551" i="1"/>
  <c r="K548" i="1"/>
  <c r="C123" i="2"/>
  <c r="G661" i="1"/>
  <c r="I661" i="1" s="1"/>
  <c r="K351" i="1"/>
  <c r="L350" i="1"/>
  <c r="L351" i="1" s="1"/>
  <c r="G632" i="1" s="1"/>
  <c r="J632" i="1" s="1"/>
  <c r="H570" i="1"/>
  <c r="F570" i="1"/>
  <c r="L570" i="1"/>
  <c r="G544" i="1"/>
  <c r="F475" i="1"/>
  <c r="H621" i="1" s="1"/>
  <c r="J621" i="1" s="1"/>
  <c r="L432" i="1"/>
  <c r="G433" i="1"/>
  <c r="L433" i="1"/>
  <c r="G637" i="1" s="1"/>
  <c r="J637" i="1" s="1"/>
  <c r="G644" i="1"/>
  <c r="J644" i="1" s="1"/>
  <c r="J191" i="1"/>
  <c r="J192" i="1" s="1"/>
  <c r="F191" i="1"/>
  <c r="F192" i="1" s="1"/>
  <c r="G626" i="1" s="1"/>
  <c r="J626" i="1" s="1"/>
  <c r="G159" i="2"/>
  <c r="G144" i="2"/>
  <c r="G102" i="2"/>
  <c r="D102" i="2"/>
  <c r="D90" i="2"/>
  <c r="E80" i="2"/>
  <c r="D80" i="2"/>
  <c r="I445" i="1"/>
  <c r="G641" i="1" s="1"/>
  <c r="F55" i="2"/>
  <c r="I111" i="1"/>
  <c r="E129" i="2"/>
  <c r="E143" i="2" s="1"/>
  <c r="C29" i="10"/>
  <c r="J337" i="1"/>
  <c r="L196" i="1"/>
  <c r="F210" i="1"/>
  <c r="L232" i="1"/>
  <c r="L246" i="1" s="1"/>
  <c r="H659" i="1" s="1"/>
  <c r="H663" i="1" s="1"/>
  <c r="F246" i="1"/>
  <c r="F143" i="2"/>
  <c r="F144" i="2" s="1"/>
  <c r="K256" i="1"/>
  <c r="K270" i="1" s="1"/>
  <c r="G156" i="2"/>
  <c r="G80" i="2"/>
  <c r="G103" i="2" s="1"/>
  <c r="C69" i="2"/>
  <c r="C80" i="2" s="1"/>
  <c r="C103" i="2" s="1"/>
  <c r="F61" i="2"/>
  <c r="D61" i="2"/>
  <c r="D62" i="2" s="1"/>
  <c r="L269" i="1"/>
  <c r="L392" i="1"/>
  <c r="E113" i="2"/>
  <c r="E114" i="2" s="1"/>
  <c r="E144" i="2" s="1"/>
  <c r="C20" i="10"/>
  <c r="C124" i="2"/>
  <c r="C19" i="10"/>
  <c r="C121" i="2"/>
  <c r="E8" i="13"/>
  <c r="C8" i="2"/>
  <c r="C18" i="2" s="1"/>
  <c r="F19" i="1"/>
  <c r="G616" i="1" s="1"/>
  <c r="G630" i="1" l="1"/>
  <c r="J630" i="1" s="1"/>
  <c r="G645" i="1"/>
  <c r="F256" i="1"/>
  <c r="F270" i="1" s="1"/>
  <c r="J351" i="1"/>
  <c r="H647" i="1"/>
  <c r="J647" i="1" s="1"/>
  <c r="F62" i="2"/>
  <c r="F103" i="2" s="1"/>
  <c r="G625" i="1"/>
  <c r="J625" i="1" s="1"/>
  <c r="C5" i="13"/>
  <c r="D33" i="13"/>
  <c r="D36" i="13" s="1"/>
  <c r="G22" i="2"/>
  <c r="G31" i="2" s="1"/>
  <c r="G50" i="2" s="1"/>
  <c r="J32" i="1"/>
  <c r="J51" i="1" s="1"/>
  <c r="H620" i="1" s="1"/>
  <c r="J620" i="1" s="1"/>
  <c r="K549" i="1"/>
  <c r="K551" i="1" s="1"/>
  <c r="G663" i="1"/>
  <c r="J616" i="1"/>
  <c r="C8" i="13"/>
  <c r="E33" i="13"/>
  <c r="D35" i="13" s="1"/>
  <c r="L407" i="1"/>
  <c r="C137" i="2"/>
  <c r="D103" i="2"/>
  <c r="H666" i="1"/>
  <c r="H671" i="1"/>
  <c r="C6" i="10" s="1"/>
  <c r="C10" i="10"/>
  <c r="L210" i="1"/>
  <c r="C108" i="2"/>
  <c r="C114" i="2" s="1"/>
  <c r="I192" i="1"/>
  <c r="G629" i="1" s="1"/>
  <c r="J629" i="1" s="1"/>
  <c r="C36" i="10"/>
  <c r="J641" i="1"/>
  <c r="C127" i="2"/>
  <c r="I460" i="1"/>
  <c r="H641" i="1" s="1"/>
  <c r="E103" i="2"/>
  <c r="F659" i="1" l="1"/>
  <c r="L256" i="1"/>
  <c r="L270" i="1" s="1"/>
  <c r="G631" i="1" s="1"/>
  <c r="J631" i="1" s="1"/>
  <c r="G636" i="1"/>
  <c r="J636" i="1" s="1"/>
  <c r="H645" i="1"/>
  <c r="C41" i="10"/>
  <c r="C28" i="10"/>
  <c r="C140" i="2"/>
  <c r="C143" i="2"/>
  <c r="C144" i="2" s="1"/>
  <c r="G671" i="1"/>
  <c r="C5" i="10" s="1"/>
  <c r="G666" i="1"/>
  <c r="J645" i="1"/>
  <c r="D22" i="10" l="1"/>
  <c r="D25" i="10"/>
  <c r="C30" i="10"/>
  <c r="D21" i="10"/>
  <c r="D13" i="10"/>
  <c r="D17" i="10"/>
  <c r="D15" i="10"/>
  <c r="D27" i="10"/>
  <c r="D23" i="10"/>
  <c r="D11" i="10"/>
  <c r="D16" i="10"/>
  <c r="D12" i="10"/>
  <c r="D26" i="10"/>
  <c r="D20" i="10"/>
  <c r="D24" i="10"/>
  <c r="D19" i="10"/>
  <c r="D18" i="10"/>
  <c r="D35" i="10"/>
  <c r="D40" i="10"/>
  <c r="D37" i="10"/>
  <c r="D39" i="10"/>
  <c r="D38" i="10"/>
  <c r="I659" i="1"/>
  <c r="I663" i="1" s="1"/>
  <c r="F663" i="1"/>
  <c r="H655" i="1"/>
  <c r="D10" i="10"/>
  <c r="D36" i="10"/>
  <c r="I666" i="1" l="1"/>
  <c r="I671" i="1"/>
  <c r="C7" i="10" s="1"/>
  <c r="D28" i="10"/>
  <c r="F666" i="1"/>
  <c r="F671" i="1"/>
  <c r="C4" i="10" s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<sst xmlns="http://schemas.openxmlformats.org/spreadsheetml/2006/main" count="3950" uniqueCount="915">
  <si>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</si>
  <si>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</si>
  <si>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</si>
  <si>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</si>
  <si>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</si>
  <si>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</si>
  <si>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</si>
  <si>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</si>
  <si>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</si>
  <si>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</si>
  <si>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</si>
  <si>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</si>
  <si>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</si>
  <si>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</si>
  <si>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</si>
  <si>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</si>
  <si>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</si>
  <si>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</si>
  <si>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</si>
  <si>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</si>
  <si>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</si>
  <si>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</si>
  <si>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</si>
  <si>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</si>
  <si>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</si>
  <si>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</si>
  <si>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</si>
  <si>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</si>
  <si>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</si>
  <si>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</si>
  <si>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</si>
  <si>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</si>
  <si>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</si>
  <si>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</si>
  <si>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</si>
  <si>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</si>
  <si>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</si>
  <si>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</si>
  <si>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</si>
  <si>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</si>
  <si>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</si>
  <si>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</si>
  <si>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</si>
  <si>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</si>
  <si>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</si>
  <si>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</si>
  <si>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</si>
  <si>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</si>
  <si>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</si>
  <si>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</si>
  <si>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</si>
  <si>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</si>
  <si>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</si>
  <si>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</si>
  <si>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</si>
  <si>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</si>
  <si>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</si>
  <si>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</si>
  <si>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</si>
  <si>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</si>
  <si>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</si>
  <si>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</si>
  <si>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</si>
  <si>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</si>
  <si>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</si>
  <si>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</si>
  <si>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</si>
  <si>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</si>
  <si>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</si>
  <si>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</si>
  <si>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</si>
  <si>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</si>
  <si>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</si>
  <si>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</si>
  <si>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</si>
  <si>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</si>
  <si>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</si>
  <si>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</si>
  <si>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</si>
  <si>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</si>
  <si>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</si>
  <si>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</si>
  <si>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</si>
  <si>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</si>
  <si>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</si>
  <si>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</si>
  <si>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</si>
  <si>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</si>
  <si>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</si>
  <si>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</si>
  <si>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</si>
  <si>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</si>
  <si>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</si>
  <si>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</si>
  <si>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</si>
  <si>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</si>
  <si>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</si>
  <si>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</si>
  <si>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</si>
  <si>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</si>
  <si>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</si>
  <si>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</si>
  <si>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</si>
  <si>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</si>
  <si>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</si>
  <si>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</si>
  <si>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</si>
  <si>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</si>
  <si>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</si>
  <si>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</si>
  <si>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</si>
  <si>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</si>
  <si>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</si>
  <si>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</si>
  <si>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</si>
  <si>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</si>
  <si>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</si>
  <si>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</si>
  <si>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</si>
  <si>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</si>
  <si>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</si>
  <si>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</si>
  <si>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</si>
  <si>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</si>
  <si>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</si>
  <si>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</si>
  <si>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</si>
  <si>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</si>
  <si>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</si>
  <si>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</si>
  <si>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</si>
  <si>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</si>
  <si>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</si>
  <si>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</si>
  <si>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</si>
  <si>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</si>
  <si>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</si>
  <si>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</si>
  <si>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</si>
  <si>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</si>
  <si>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</si>
  <si>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</si>
  <si>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</si>
  <si>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</si>
  <si>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</si>
  <si>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</si>
  <si>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</si>
  <si>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</si>
  <si>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</si>
  <si>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</si>
  <si>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</si>
  <si>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</si>
  <si>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</si>
  <si>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</si>
  <si>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</si>
  <si>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</si>
  <si>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</si>
  <si>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</si>
  <si>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</si>
  <si>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</si>
  <si>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</si>
  <si>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</si>
  <si>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</si>
  <si>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</si>
  <si>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</si>
  <si>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</si>
  <si>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</si>
  <si>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</si>
  <si>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</si>
  <si>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</si>
  <si>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</si>
  <si>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</si>
  <si>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</si>
  <si>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</si>
  <si>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</si>
  <si>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</si>
  <si>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</si>
  <si>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</si>
  <si>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</si>
  <si>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</si>
  <si>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</si>
  <si>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</si>
  <si>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</si>
  <si>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</si>
  <si>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</si>
  <si>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</si>
  <si>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</si>
  <si>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</si>
  <si>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</si>
  <si>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</si>
  <si>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</si>
  <si>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</si>
  <si>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</si>
  <si>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</si>
  <si>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</si>
  <si>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</si>
  <si>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</si>
  <si>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</si>
  <si>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</si>
  <si>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</si>
  <si>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</si>
  <si>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</si>
  <si>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</si>
  <si>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</si>
  <si>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</si>
  <si>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</si>
  <si>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</si>
  <si>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</si>
  <si>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</si>
  <si>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</si>
  <si>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</si>
  <si>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</si>
  <si>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</si>
  <si>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</si>
  <si>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</si>
  <si>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</si>
  <si>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</si>
  <si>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</si>
  <si>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</si>
  <si>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</si>
  <si>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</si>
  <si>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</si>
  <si>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</si>
  <si>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</si>
  <si>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</si>
  <si>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</si>
  <si>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</si>
  <si>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</si>
  <si>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</si>
  <si>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</si>
  <si>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</si>
  <si>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</si>
  <si>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</si>
  <si>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</si>
  <si>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</si>
  <si>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</si>
  <si>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</si>
  <si>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</si>
  <si>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</si>
  <si>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</si>
  <si>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</si>
  <si>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</si>
  <si>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</si>
  <si>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</si>
  <si>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</si>
  <si>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</si>
  <si>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</si>
  <si>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</si>
  <si>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</si>
  <si>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</si>
  <si>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</si>
  <si>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</si>
  <si>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</si>
  <si>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</si>
  <si>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</si>
  <si>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</si>
  <si>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</si>
  <si>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</si>
  <si>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</si>
  <si>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</si>
  <si>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</si>
  <si>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</si>
  <si>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</si>
  <si>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</si>
  <si>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</si>
  <si>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</si>
  <si>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</si>
  <si>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</si>
  <si>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</si>
  <si>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</si>
  <si>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</si>
  <si>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</si>
  <si>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</si>
  <si>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</si>
  <si>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</si>
  <si>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</si>
  <si>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</si>
  <si>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</si>
  <si>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</si>
  <si>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</si>
  <si>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</si>
  <si>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</si>
  <si>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</si>
  <si>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</si>
  <si>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</si>
  <si>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</si>
  <si>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</si>
  <si>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</si>
  <si>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</si>
  <si>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</si>
  <si>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</si>
  <si>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</si>
  <si>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</si>
  <si>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</si>
  <si>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</si>
  <si>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</si>
  <si>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</si>
  <si>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</si>
  <si>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</si>
  <si>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</si>
  <si>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</si>
  <si>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</si>
  <si>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</si>
  <si>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</si>
  <si>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</si>
  <si>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</si>
  <si>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</si>
  <si>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</si>
  <si>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</si>
  <si>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</si>
  <si>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</si>
  <si>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</si>
  <si>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</si>
  <si>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</si>
  <si>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</si>
  <si>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</si>
  <si>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</si>
  <si>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</si>
  <si>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</si>
  <si>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</si>
  <si>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</si>
  <si>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</si>
  <si>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</si>
  <si>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</si>
  <si>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</si>
  <si>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</si>
  <si>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</si>
  <si>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</si>
  <si>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</si>
  <si>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</si>
  <si>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</si>
  <si>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</si>
  <si>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</si>
  <si>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</si>
  <si>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</si>
  <si>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</si>
  <si>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</si>
  <si>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</si>
  <si>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</si>
  <si>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</si>
  <si>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</si>
  <si>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</si>
  <si>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</si>
  <si>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</si>
  <si>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</si>
  <si>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</si>
  <si>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</si>
  <si>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</si>
  <si>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</si>
  <si>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</si>
  <si>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</si>
  <si>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</si>
  <si>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</si>
  <si>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</si>
  <si>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</si>
  <si>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</si>
  <si>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</si>
  <si>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</si>
  <si>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</si>
  <si>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</si>
  <si>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</si>
  <si>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</si>
  <si>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</si>
  <si>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</si>
  <si>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</si>
  <si>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</si>
  <si>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</si>
  <si>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</si>
  <si>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</si>
  <si>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</si>
  <si>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</si>
  <si>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</si>
  <si>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</si>
  <si>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</si>
  <si>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</si>
  <si>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</si>
  <si>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</si>
  <si>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</si>
  <si>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</si>
  <si>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</si>
  <si>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</si>
  <si>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</si>
  <si>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</si>
  <si>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</si>
  <si>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</si>
  <si>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</si>
  <si>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</si>
  <si>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</si>
  <si>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</si>
  <si>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</si>
  <si>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</si>
  <si>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</si>
  <si>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</si>
  <si>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</si>
  <si>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</si>
  <si>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</si>
  <si>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</si>
  <si>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</si>
  <si>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</si>
  <si>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</si>
  <si>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</si>
  <si>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</si>
  <si>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</si>
  <si>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</si>
  <si>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</si>
  <si>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</si>
  <si>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</si>
  <si>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</si>
  <si>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</si>
  <si>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</si>
  <si>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</si>
  <si>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</si>
  <si>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</si>
  <si>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</si>
  <si>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</si>
  <si>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</si>
  <si>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</si>
  <si>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</si>
  <si>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</si>
  <si>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</si>
  <si>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</si>
  <si>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</si>
  <si>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</si>
  <si>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</si>
  <si>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</si>
  <si>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</si>
  <si>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</si>
  <si>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</si>
  <si>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</si>
  <si>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</si>
  <si>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</si>
  <si>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</si>
  <si>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</si>
  <si>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</si>
  <si>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</si>
  <si>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</si>
  <si>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</si>
  <si>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</si>
  <si>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</si>
  <si>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</si>
  <si>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</si>
  <si>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</si>
  <si>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</si>
  <si>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</si>
  <si>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</si>
  <si>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</si>
  <si>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</si>
  <si>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</si>
  <si>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</si>
  <si>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</si>
  <si>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</si>
  <si>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</si>
  <si>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</si>
  <si>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</si>
  <si>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</si>
  <si>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</si>
  <si>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</si>
  <si>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</si>
  <si>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</si>
  <si>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</si>
  <si>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</si>
  <si>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</si>
  <si>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</si>
  <si>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</si>
  <si>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</si>
  <si>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</si>
  <si>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</si>
  <si>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</si>
  <si>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</si>
  <si>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</si>
  <si>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</si>
  <si>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</si>
  <si>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</si>
  <si>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</si>
  <si>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</si>
  <si>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</si>
  <si>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</si>
  <si>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</si>
  <si>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</si>
  <si>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</si>
  <si>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</si>
  <si>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</si>
  <si>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</si>
  <si>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</si>
  <si>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</si>
  <si>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</si>
  <si>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</si>
  <si>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</si>
  <si>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</si>
  <si>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</si>
  <si>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</si>
  <si>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</si>
  <si>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</si>
  <si>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</si>
  <si>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</si>
  <si>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</si>
  <si>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</si>
  <si>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</si>
  <si>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</si>
  <si>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</si>
  <si>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</si>
  <si>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</si>
  <si>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</si>
  <si>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</si>
  <si>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</si>
  <si>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</si>
  <si>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</si>
  <si>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</si>
  <si>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</si>
  <si>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</si>
  <si>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</si>
  <si>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</si>
  <si>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</si>
  <si>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</si>
  <si>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</si>
  <si>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</si>
  <si>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</si>
  <si>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</si>
  <si>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</si>
  <si>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</si>
  <si>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</si>
  <si>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</si>
  <si>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</si>
  <si>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</si>
  <si>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</si>
  <si>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</si>
  <si>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</si>
  <si>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</si>
  <si>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</si>
  <si>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</si>
  <si>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</si>
  <si>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</si>
  <si>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</si>
  <si>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</si>
  <si>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</si>
  <si>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</si>
  <si>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</si>
  <si>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</si>
  <si>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</si>
  <si>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</si>
  <si>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</si>
  <si>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</si>
  <si>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</si>
  <si>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</si>
  <si>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</si>
  <si>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</si>
  <si>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</si>
  <si>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</si>
  <si>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</si>
  <si>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</si>
  <si>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</si>
  <si>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</si>
  <si>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</si>
  <si>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</si>
  <si>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</si>
  <si>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</si>
  <si>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</si>
  <si>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</si>
  <si>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</si>
  <si>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</si>
  <si>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</si>
  <si>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</si>
  <si>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</si>
  <si>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</si>
  <si>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</si>
  <si>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</si>
  <si>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</si>
  <si>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</si>
  <si>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</si>
  <si>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</si>
  <si>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</si>
  <si>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</si>
  <si>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</si>
  <si>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</si>
  <si>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</si>
  <si>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</si>
  <si>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</si>
  <si>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</si>
  <si>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</si>
  <si>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</si>
  <si>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</si>
  <si>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</si>
  <si>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</si>
  <si>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</si>
  <si>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</si>
  <si>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</si>
  <si>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</si>
  <si>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</si>
  <si>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</si>
  <si>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</si>
  <si>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</si>
  <si>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</si>
  <si>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</si>
  <si>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</si>
  <si>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</si>
  <si>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</si>
  <si>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</si>
  <si>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</si>
  <si>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</si>
  <si>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</si>
  <si>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</si>
  <si>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</si>
  <si>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</si>
  <si>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</si>
  <si>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</si>
  <si>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</si>
  <si>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</si>
  <si>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</si>
  <si>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</si>
  <si>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</si>
  <si>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</si>
  <si>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</si>
  <si>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</si>
  <si>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</si>
  <si>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</si>
  <si>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</si>
  <si>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</si>
  <si>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</si>
  <si>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</si>
  <si>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</si>
  <si>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</si>
  <si>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</si>
  <si>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</si>
  <si>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</si>
  <si>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</si>
  <si>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</si>
  <si>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</si>
  <si>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</si>
  <si>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</si>
  <si>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</si>
  <si>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</si>
  <si>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</si>
  <si>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</si>
  <si>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</si>
  <si>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</si>
  <si>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</si>
  <si>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</si>
  <si>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</si>
  <si>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</si>
  <si>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</si>
  <si>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</si>
  <si>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</si>
  <si>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</si>
  <si>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</si>
  <si>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</si>
  <si>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</si>
  <si>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</si>
  <si>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</si>
  <si>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</si>
  <si>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</si>
  <si>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</si>
  <si>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</si>
  <si>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</si>
  <si>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</si>
  <si>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</si>
  <si>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</si>
  <si>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</si>
  <si>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</si>
  <si>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</si>
  <si>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</si>
  <si>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</si>
  <si>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</si>
  <si>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</si>
  <si>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</si>
  <si>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</si>
  <si>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</si>
  <si>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</si>
  <si>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</si>
  <si>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</si>
  <si>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</si>
  <si>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</si>
  <si>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</si>
  <si>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</si>
  <si>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</si>
  <si>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</si>
  <si>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</si>
  <si>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</si>
  <si>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</si>
  <si>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</si>
  <si>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</si>
  <si>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</si>
  <si>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</si>
  <si>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</si>
  <si>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</si>
  <si>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</si>
  <si>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</si>
  <si>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</si>
  <si>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</si>
  <si>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</si>
  <si>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</si>
  <si>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</si>
  <si>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</si>
  <si>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</si>
  <si>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</si>
  <si>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</si>
  <si>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</si>
  <si>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</si>
  <si>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</si>
  <si>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</si>
  <si>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</si>
  <si>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</si>
  <si>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</si>
  <si>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</si>
  <si>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</si>
  <si>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</si>
  <si>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</si>
  <si>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</si>
  <si>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</si>
  <si>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</si>
  <si>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</si>
  <si>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</si>
  <si>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</si>
  <si>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</si>
  <si>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</si>
  <si>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</si>
  <si>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</si>
  <si>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</si>
  <si>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</si>
  <si>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</si>
  <si>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</si>
  <si>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</si>
  <si>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</si>
  <si>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</si>
  <si>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</si>
  <si>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</si>
  <si>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</si>
  <si>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</si>
  <si>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</si>
  <si>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</si>
  <si>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</si>
  <si>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</si>
  <si>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</si>
  <si>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</si>
  <si>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</si>
  <si>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</si>
  <si>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</si>
  <si>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</si>
  <si>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</si>
  <si>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</si>
  <si>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</si>
  <si>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</si>
  <si>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</si>
  <si>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</si>
  <si>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</si>
  <si>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</si>
  <si>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</si>
  <si>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</si>
  <si>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</si>
  <si>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</si>
  <si>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</si>
  <si>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</si>
  <si>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</si>
  <si>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</si>
  <si>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</si>
  <si>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</si>
  <si>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</si>
  <si>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</si>
  <si>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</si>
  <si>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</si>
  <si>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</si>
  <si>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</si>
  <si>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</si>
  <si>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</si>
  <si>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</si>
  <si>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</si>
  <si>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</si>
  <si>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</si>
  <si>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</si>
  <si>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</si>
  <si>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</si>
  <si>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</si>
  <si>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</si>
  <si>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</si>
  <si>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</si>
  <si>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</si>
  <si>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</si>
  <si>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</si>
  <si>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</si>
  <si>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</si>
  <si>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</si>
  <si>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</si>
  <si>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</si>
  <si>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</si>
  <si>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</si>
  <si>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</si>
  <si>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</si>
  <si>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</si>
  <si>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</si>
  <si>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</si>
  <si>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</si>
  <si>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</si>
  <si>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</si>
  <si>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</si>
  <si>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</si>
  <si>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</si>
  <si>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</si>
  <si>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</si>
  <si>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</si>
  <si>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</si>
  <si>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</si>
  <si>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</si>
  <si>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</si>
  <si>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</si>
  <si>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</si>
  <si>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</si>
  <si>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</si>
  <si>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</si>
  <si>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</si>
  <si>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</si>
  <si>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</si>
  <si>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</si>
  <si>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</si>
  <si>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</si>
  <si>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</si>
  <si>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</si>
  <si>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</si>
  <si>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</si>
  <si>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</si>
  <si>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</si>
  <si>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</si>
  <si>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</si>
  <si>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</si>
  <si>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</si>
  <si>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</si>
  <si>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</si>
  <si>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</si>
  <si>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</si>
  <si>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</si>
  <si>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</si>
  <si>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</si>
  <si>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</si>
  <si>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</si>
  <si>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</si>
  <si>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</si>
  <si>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</si>
  <si>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</si>
  <si>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</si>
  <si>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</si>
  <si>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</si>
  <si>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</si>
  <si>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</si>
  <si>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</si>
  <si>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</si>
  <si>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</si>
  <si>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</si>
  <si>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</si>
  <si>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</si>
  <si>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</si>
  <si>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</si>
  <si>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</si>
  <si>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</si>
  <si>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</si>
  <si>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</si>
  <si>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</si>
  <si>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</si>
  <si>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</si>
  <si>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</si>
  <si>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</si>
  <si>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</si>
  <si>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</si>
  <si>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</si>
  <si>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</si>
  <si>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</si>
  <si>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</si>
  <si>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</si>
  <si>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</si>
  <si>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</si>
  <si>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</si>
  <si>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</si>
  <si>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</si>
  <si>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</si>
  <si>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</si>
  <si>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</si>
  <si>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</si>
  <si>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</si>
  <si>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</si>
  <si>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</si>
  <si>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</si>
  <si>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</si>
  <si>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</si>
  <si>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</si>
  <si>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</si>
  <si>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</si>
  <si>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</si>
  <si>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</si>
  <si>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</si>
  <si>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</si>
  <si>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</si>
  <si>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</si>
  <si>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</si>
  <si>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</si>
  <si>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</si>
  <si>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</si>
  <si>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</si>
  <si>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</si>
  <si>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</si>
  <si>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</si>
  <si>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</si>
  <si>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</si>
  <si>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</si>
  <si>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</si>
  <si>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</si>
  <si>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</si>
  <si>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</si>
  <si>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</si>
  <si>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</si>
  <si>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</si>
  <si>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</si>
  <si>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</si>
  <si>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Seidenstuecker </t>
  </si>
  <si>
    <t xml:space="preserve">    Reduction in Food Service Inventory</t>
  </si>
  <si>
    <t xml:space="preserve">        Interest Not Posted Prior Year-Software Problem</t>
  </si>
  <si>
    <t>12/03</t>
  </si>
  <si>
    <t>1/2024</t>
  </si>
  <si>
    <t>CONWAY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</si>
</sst>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914</v>
      </c>
      <c r="B2" s="21">
        <v>113</v>
      </c>
      <c r="C2" s="21">
        <v>113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154104.07+450</f>
        <v>154554.07</v>
      </c>
      <c r="G9" s="18">
        <v>394727.25</v>
      </c>
      <c r="H9" s="18">
        <v>0</v>
      </c>
      <c r="I9" s="18">
        <v>0</v>
      </c>
      <c r="J9" s="67">
        <f>SUM(I438)</f>
        <v>1107742.55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847460.33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132388.89000000001</v>
      </c>
      <c r="G13" s="18">
        <v>106368.01</v>
      </c>
      <c r="H13" s="18">
        <v>304861.74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21904.74</v>
      </c>
      <c r="G14" s="18">
        <v>982.55</v>
      </c>
      <c r="H14" s="18">
        <v>5540.5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24751.360000000001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1156308.03</v>
      </c>
      <c r="G19" s="41">
        <f>SUM(G9:G18)</f>
        <v>526829.17000000004</v>
      </c>
      <c r="H19" s="41">
        <f>SUM(H9:H18)</f>
        <v>310402.24</v>
      </c>
      <c r="I19" s="41">
        <f>SUM(I9:I18)</f>
        <v>0</v>
      </c>
      <c r="J19" s="41">
        <f>SUM(J9:J18)</f>
        <v>1107742.55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458081.1</v>
      </c>
      <c r="H22" s="18">
        <v>227381.23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179942.21</v>
      </c>
      <c r="G24" s="18">
        <v>26.37</v>
      </c>
      <c r="H24" s="18">
        <v>685.88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29948.22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994.27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210884.69999999998</v>
      </c>
      <c r="G32" s="41">
        <f>SUM(G22:G31)</f>
        <v>458107.47</v>
      </c>
      <c r="H32" s="41">
        <f>SUM(H22:H31)</f>
        <v>228067.11000000002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24751.360000000001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43970.34</v>
      </c>
      <c r="H47" s="18">
        <v>82335.13</v>
      </c>
      <c r="I47" s="18">
        <v>0</v>
      </c>
      <c r="J47" s="13">
        <f>SUM(I458)</f>
        <v>1107742.55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945423.33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945423.33</v>
      </c>
      <c r="G50" s="41">
        <f>SUM(G35:G49)</f>
        <v>68721.7</v>
      </c>
      <c r="H50" s="41">
        <f>SUM(H35:H49)</f>
        <v>82335.13</v>
      </c>
      <c r="I50" s="41">
        <f>SUM(I35:I49)</f>
        <v>0</v>
      </c>
      <c r="J50" s="41">
        <f>SUM(J35:J49)</f>
        <v>1107742.55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1156308.03</v>
      </c>
      <c r="G51" s="41">
        <f>G50+G32</f>
        <v>526829.16999999993</v>
      </c>
      <c r="H51" s="41">
        <f>H50+H32</f>
        <v>310402.24</v>
      </c>
      <c r="I51" s="41">
        <f>I50+I32</f>
        <v>0</v>
      </c>
      <c r="J51" s="41">
        <f>J50+J32</f>
        <v>1107742.55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12512258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12512258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1640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10043964.859999999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10045604.859999999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38917.839999999997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38917.839999999997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1547.12</v>
      </c>
      <c r="G95" s="18">
        <v>139.84</v>
      </c>
      <c r="H95" s="18">
        <v>0</v>
      </c>
      <c r="I95" s="18">
        <v>2.82</v>
      </c>
      <c r="J95" s="18">
        <v>663.38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438232.31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30514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3233.07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176975.38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115206.39</v>
      </c>
      <c r="G109" s="18">
        <v>0</v>
      </c>
      <c r="H109" s="18">
        <v>125128.53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327475.96000000002</v>
      </c>
      <c r="G110" s="41">
        <f>SUM(G95:G109)</f>
        <v>438372.15</v>
      </c>
      <c r="H110" s="41">
        <f>SUM(H95:H109)</f>
        <v>125128.53</v>
      </c>
      <c r="I110" s="41">
        <f>SUM(I95:I109)</f>
        <v>2.82</v>
      </c>
      <c r="J110" s="41">
        <f>SUM(J95:J109)</f>
        <v>663.38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22924256.66</v>
      </c>
      <c r="G111" s="41">
        <f>G59+G110</f>
        <v>438372.15</v>
      </c>
      <c r="H111" s="41">
        <f>H59+H78+H93+H110</f>
        <v>125128.53</v>
      </c>
      <c r="I111" s="41">
        <f>I59+I110</f>
        <v>2.82</v>
      </c>
      <c r="J111" s="41">
        <f>J59+J110</f>
        <v>663.38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2932022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3427926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6359948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1060664.0900000001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332811.77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32518.74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10755.37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66647.360000000001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1393475.86</v>
      </c>
      <c r="G135" s="41">
        <f>SUM(G122:G134)</f>
        <v>10755.37</v>
      </c>
      <c r="H135" s="41">
        <f>SUM(H122:H134)</f>
        <v>99166.1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7753423.8600000003</v>
      </c>
      <c r="G139" s="41">
        <f>G120+SUM(G135:G136)</f>
        <v>10755.37</v>
      </c>
      <c r="H139" s="41">
        <f>H120+SUM(H135:H138)</f>
        <v>99166.1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531328.76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316779.52000000002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82013.52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445413.72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534126.15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203276.17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203276.17</v>
      </c>
      <c r="G161" s="41">
        <f>SUM(G149:G160)</f>
        <v>445413.72</v>
      </c>
      <c r="H161" s="41">
        <f>SUM(H149:H160)</f>
        <v>1464247.9500000002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1107.6199999999999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204383.79</v>
      </c>
      <c r="G168" s="41">
        <f>G146+G161+SUM(G162:G167)</f>
        <v>445413.72</v>
      </c>
      <c r="H168" s="41">
        <f>H146+H161+SUM(H162:H167)</f>
        <v>1464247.9500000002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467429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467429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161998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161998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161998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467429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31044062.309999999</v>
      </c>
      <c r="G192" s="47">
        <f>G111+G139+G168+G191</f>
        <v>894541.24</v>
      </c>
      <c r="H192" s="47">
        <f>H111+H139+H168+H191</f>
        <v>1688542.58</v>
      </c>
      <c r="I192" s="47">
        <f>I111+I139+I168+I191</f>
        <v>2.82</v>
      </c>
      <c r="J192" s="47">
        <f>J111+J139+J191</f>
        <v>468092.38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2582763.53+160414.83</f>
        <v>2743178.36</v>
      </c>
      <c r="G196" s="18">
        <f>1265569.07+371378.08</f>
        <v>1636947.1500000001</v>
      </c>
      <c r="H196" s="18">
        <v>19872.55</v>
      </c>
      <c r="I196" s="18">
        <v>118925.94</v>
      </c>
      <c r="J196" s="18">
        <v>51383.82</v>
      </c>
      <c r="K196" s="18">
        <v>0</v>
      </c>
      <c r="L196" s="19">
        <f>SUM(F196:K196)</f>
        <v>4570307.82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1052173.28</v>
      </c>
      <c r="G197" s="18">
        <v>659347.35</v>
      </c>
      <c r="H197" s="18">
        <v>1013835.36</v>
      </c>
      <c r="I197" s="18">
        <v>1245.95</v>
      </c>
      <c r="J197" s="18">
        <v>0</v>
      </c>
      <c r="K197" s="18">
        <v>0</v>
      </c>
      <c r="L197" s="19">
        <f>SUM(F197:K197)</f>
        <v>2726601.94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16551.25</v>
      </c>
      <c r="G199" s="18">
        <v>2739.61</v>
      </c>
      <c r="H199" s="18">
        <v>9549.2999999999993</v>
      </c>
      <c r="I199" s="18">
        <v>0</v>
      </c>
      <c r="J199" s="18">
        <v>0</v>
      </c>
      <c r="K199" s="18">
        <v>0</v>
      </c>
      <c r="L199" s="19">
        <f>SUM(F199:K199)</f>
        <v>28840.16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516506.1</v>
      </c>
      <c r="G201" s="18">
        <v>324312.26</v>
      </c>
      <c r="H201" s="18">
        <v>146084.76999999999</v>
      </c>
      <c r="I201" s="18">
        <v>4826.22</v>
      </c>
      <c r="J201" s="18">
        <v>0</v>
      </c>
      <c r="K201" s="18">
        <v>0</v>
      </c>
      <c r="L201" s="19">
        <f t="shared" ref="L201:L207" si="0">SUM(F201:K201)</f>
        <v>991729.35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124033.38</v>
      </c>
      <c r="G202" s="18">
        <v>85631.01</v>
      </c>
      <c r="H202" s="18">
        <v>11710.9</v>
      </c>
      <c r="I202" s="18">
        <v>25142.83</v>
      </c>
      <c r="J202" s="18">
        <v>3224.5</v>
      </c>
      <c r="K202" s="18">
        <v>0</v>
      </c>
      <c r="L202" s="19">
        <f t="shared" si="0"/>
        <v>249742.62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8232</v>
      </c>
      <c r="G203" s="18">
        <v>629.73</v>
      </c>
      <c r="H203" s="18">
        <v>341574.19</v>
      </c>
      <c r="I203" s="18">
        <v>2258.39</v>
      </c>
      <c r="J203" s="18">
        <v>0</v>
      </c>
      <c r="K203" s="18">
        <v>2064.85</v>
      </c>
      <c r="L203" s="19">
        <f t="shared" si="0"/>
        <v>354759.16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337113.3</v>
      </c>
      <c r="G204" s="18">
        <v>175132.48</v>
      </c>
      <c r="H204" s="18">
        <v>41141.949999999997</v>
      </c>
      <c r="I204" s="18">
        <v>5843.08</v>
      </c>
      <c r="J204" s="18">
        <v>5584.65</v>
      </c>
      <c r="K204" s="18">
        <v>2390</v>
      </c>
      <c r="L204" s="19">
        <f t="shared" si="0"/>
        <v>567205.46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278424.75</v>
      </c>
      <c r="G206" s="18">
        <v>176386.22</v>
      </c>
      <c r="H206" s="18">
        <v>405894.28</v>
      </c>
      <c r="I206" s="18">
        <v>258887.49</v>
      </c>
      <c r="J206" s="18">
        <v>31821.33</v>
      </c>
      <c r="K206" s="18">
        <v>0</v>
      </c>
      <c r="L206" s="19">
        <f t="shared" si="0"/>
        <v>1151414.07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115562.76</v>
      </c>
      <c r="G207" s="18">
        <v>47914.75</v>
      </c>
      <c r="H207" s="18">
        <v>18180.23</v>
      </c>
      <c r="I207" s="18">
        <v>42740.91</v>
      </c>
      <c r="J207" s="18">
        <v>62749</v>
      </c>
      <c r="K207" s="18">
        <v>0</v>
      </c>
      <c r="L207" s="19">
        <f t="shared" si="0"/>
        <v>287147.65000000002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760</v>
      </c>
      <c r="I208" s="18">
        <v>0</v>
      </c>
      <c r="J208" s="18">
        <v>0</v>
      </c>
      <c r="K208" s="18">
        <v>0</v>
      </c>
      <c r="L208" s="19">
        <f>SUM(F208:K208)</f>
        <v>760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5191775.1799999988</v>
      </c>
      <c r="G210" s="41">
        <f t="shared" si="1"/>
        <v>3109040.56</v>
      </c>
      <c r="H210" s="41">
        <f t="shared" si="1"/>
        <v>2008603.5299999998</v>
      </c>
      <c r="I210" s="41">
        <f t="shared" si="1"/>
        <v>459870.81000000006</v>
      </c>
      <c r="J210" s="41">
        <f t="shared" si="1"/>
        <v>154763.29999999999</v>
      </c>
      <c r="K210" s="41">
        <f t="shared" si="1"/>
        <v>4454.8500000000004</v>
      </c>
      <c r="L210" s="41">
        <f t="shared" si="1"/>
        <v>10928508.229999999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1145679.21+116559.95</f>
        <v>1262239.1599999999</v>
      </c>
      <c r="G214" s="18">
        <f>567163.55+159599.87</f>
        <v>726763.42</v>
      </c>
      <c r="H214" s="18">
        <v>9461.39</v>
      </c>
      <c r="I214" s="18">
        <v>49406.75</v>
      </c>
      <c r="J214" s="18">
        <v>28041.18</v>
      </c>
      <c r="K214" s="18">
        <v>0</v>
      </c>
      <c r="L214" s="19">
        <f>SUM(F214:K214)</f>
        <v>2075911.9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386824.1</v>
      </c>
      <c r="G215" s="18">
        <v>248922.25</v>
      </c>
      <c r="H215" s="18">
        <v>149756.93</v>
      </c>
      <c r="I215" s="18">
        <v>3654.75</v>
      </c>
      <c r="J215" s="18">
        <v>500</v>
      </c>
      <c r="K215" s="18">
        <v>0</v>
      </c>
      <c r="L215" s="19">
        <f>SUM(F215:K215)</f>
        <v>789658.03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57315.839999999997</v>
      </c>
      <c r="G217" s="18">
        <v>6724.09</v>
      </c>
      <c r="H217" s="18">
        <v>14915.66</v>
      </c>
      <c r="I217" s="18">
        <v>7125.26</v>
      </c>
      <c r="J217" s="18">
        <v>2375</v>
      </c>
      <c r="K217" s="18">
        <v>1471.96</v>
      </c>
      <c r="L217" s="19">
        <f>SUM(F217:K217)</f>
        <v>89927.81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185214.18</v>
      </c>
      <c r="G219" s="18">
        <v>88997.31</v>
      </c>
      <c r="H219" s="18">
        <v>8407.49</v>
      </c>
      <c r="I219" s="18">
        <v>4443.41</v>
      </c>
      <c r="J219" s="18">
        <v>419.95</v>
      </c>
      <c r="K219" s="18">
        <v>0</v>
      </c>
      <c r="L219" s="19">
        <f t="shared" ref="L219:L225" si="2">SUM(F219:K219)</f>
        <v>287482.33999999997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48404.94</v>
      </c>
      <c r="G220" s="18">
        <v>35525.050000000003</v>
      </c>
      <c r="H220" s="18">
        <v>5924.43</v>
      </c>
      <c r="I220" s="18">
        <v>9766.91</v>
      </c>
      <c r="J220" s="18">
        <v>1094</v>
      </c>
      <c r="K220" s="18">
        <v>0</v>
      </c>
      <c r="L220" s="19">
        <f t="shared" si="2"/>
        <v>100715.33000000002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3358</v>
      </c>
      <c r="G221" s="18">
        <v>756.93</v>
      </c>
      <c r="H221" s="18">
        <v>139362.15</v>
      </c>
      <c r="I221" s="18">
        <v>921.42</v>
      </c>
      <c r="J221" s="18">
        <v>0</v>
      </c>
      <c r="K221" s="18">
        <v>842.46</v>
      </c>
      <c r="L221" s="19">
        <f t="shared" si="2"/>
        <v>145240.95999999999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145172.23000000001</v>
      </c>
      <c r="G222" s="18">
        <v>75643.850000000006</v>
      </c>
      <c r="H222" s="18">
        <v>28969.41</v>
      </c>
      <c r="I222" s="18">
        <v>2586.25</v>
      </c>
      <c r="J222" s="18">
        <v>200</v>
      </c>
      <c r="K222" s="18">
        <v>1907.71</v>
      </c>
      <c r="L222" s="19">
        <f t="shared" si="2"/>
        <v>254479.45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269240.94</v>
      </c>
      <c r="G224" s="18">
        <v>159983.82</v>
      </c>
      <c r="H224" s="18">
        <v>322881.17</v>
      </c>
      <c r="I224" s="18">
        <v>252849.94</v>
      </c>
      <c r="J224" s="18">
        <v>11637.93</v>
      </c>
      <c r="K224" s="18">
        <v>0</v>
      </c>
      <c r="L224" s="19">
        <f t="shared" si="2"/>
        <v>1016593.7999999999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35420.89</v>
      </c>
      <c r="G225" s="18">
        <v>15875.89</v>
      </c>
      <c r="H225" s="18">
        <v>7417.53</v>
      </c>
      <c r="I225" s="18">
        <v>17438.29</v>
      </c>
      <c r="J225" s="18">
        <v>24786</v>
      </c>
      <c r="K225" s="18">
        <v>0</v>
      </c>
      <c r="L225" s="19">
        <f t="shared" si="2"/>
        <v>100938.6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310</v>
      </c>
      <c r="I226" s="18">
        <v>0</v>
      </c>
      <c r="J226" s="18">
        <v>0</v>
      </c>
      <c r="K226" s="18">
        <v>0</v>
      </c>
      <c r="L226" s="19">
        <f>SUM(F226:K226)</f>
        <v>310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2393190.2799999998</v>
      </c>
      <c r="G228" s="41">
        <f>SUM(G214:G227)</f>
        <v>1359192.61</v>
      </c>
      <c r="H228" s="41">
        <f>SUM(H214:H227)</f>
        <v>687406.15999999992</v>
      </c>
      <c r="I228" s="41">
        <f>SUM(I214:I227)</f>
        <v>348192.98</v>
      </c>
      <c r="J228" s="41">
        <f>SUM(J214:J227)</f>
        <v>69054.06</v>
      </c>
      <c r="K228" s="41">
        <f t="shared" si="3"/>
        <v>4222.13</v>
      </c>
      <c r="L228" s="41">
        <f t="shared" si="3"/>
        <v>4861258.22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2552043.26+109135.2</f>
        <v>2661178.46</v>
      </c>
      <c r="G232" s="18">
        <f>1342730.13+464007.59</f>
        <v>1806737.72</v>
      </c>
      <c r="H232" s="18">
        <v>15411.15</v>
      </c>
      <c r="I232" s="18">
        <v>117386.71</v>
      </c>
      <c r="J232" s="18">
        <v>71050.850000000006</v>
      </c>
      <c r="K232" s="18">
        <v>0</v>
      </c>
      <c r="L232" s="19">
        <f>SUM(F232:K232)</f>
        <v>4671764.8899999997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692315.71</v>
      </c>
      <c r="G233" s="18">
        <v>436002.51</v>
      </c>
      <c r="H233" s="18">
        <v>390584.49</v>
      </c>
      <c r="I233" s="18">
        <v>5034.7700000000004</v>
      </c>
      <c r="J233" s="18">
        <v>3538.59</v>
      </c>
      <c r="K233" s="18">
        <v>0</v>
      </c>
      <c r="L233" s="19">
        <f>SUM(F233:K233)</f>
        <v>1527476.07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436095.17</v>
      </c>
      <c r="G234" s="18">
        <v>210082.99</v>
      </c>
      <c r="H234" s="18">
        <v>11393.59</v>
      </c>
      <c r="I234" s="18">
        <v>69341.789999999994</v>
      </c>
      <c r="J234" s="18">
        <v>3546.82</v>
      </c>
      <c r="K234" s="18">
        <v>0</v>
      </c>
      <c r="L234" s="19">
        <f>SUM(F234:K234)</f>
        <v>730460.35999999987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178778.11</v>
      </c>
      <c r="G235" s="18">
        <v>33629.019999999997</v>
      </c>
      <c r="H235" s="18">
        <v>76395.67</v>
      </c>
      <c r="I235" s="18">
        <v>22421.13</v>
      </c>
      <c r="J235" s="18">
        <v>2362.1799999999998</v>
      </c>
      <c r="K235" s="18">
        <v>8634</v>
      </c>
      <c r="L235" s="19">
        <f>SUM(F235:K235)</f>
        <v>322220.11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562812.67000000004</v>
      </c>
      <c r="G237" s="18">
        <v>273814.90000000002</v>
      </c>
      <c r="H237" s="18">
        <v>70557.22</v>
      </c>
      <c r="I237" s="18">
        <v>9693.5300000000007</v>
      </c>
      <c r="J237" s="18">
        <v>1818.82</v>
      </c>
      <c r="K237" s="18">
        <v>0</v>
      </c>
      <c r="L237" s="19">
        <f t="shared" ref="L237:L243" si="4">SUM(F237:K237)</f>
        <v>918697.14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80367.5</v>
      </c>
      <c r="G238" s="18">
        <v>60026.02</v>
      </c>
      <c r="H238" s="18">
        <v>22077.01</v>
      </c>
      <c r="I238" s="18">
        <v>16534.810000000001</v>
      </c>
      <c r="J238" s="18">
        <v>1273</v>
      </c>
      <c r="K238" s="18">
        <v>0</v>
      </c>
      <c r="L238" s="19">
        <f t="shared" si="4"/>
        <v>180278.34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10360</v>
      </c>
      <c r="G239" s="18">
        <v>792.62</v>
      </c>
      <c r="H239" s="18">
        <v>429927.67</v>
      </c>
      <c r="I239" s="18">
        <v>2842.55</v>
      </c>
      <c r="J239" s="18">
        <v>0</v>
      </c>
      <c r="K239" s="18">
        <v>2598.9499999999998</v>
      </c>
      <c r="L239" s="19">
        <f t="shared" si="4"/>
        <v>446521.79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460877.1</v>
      </c>
      <c r="G240" s="18">
        <v>208739.83</v>
      </c>
      <c r="H240" s="18">
        <v>70809.25</v>
      </c>
      <c r="I240" s="18">
        <v>19242.919999999998</v>
      </c>
      <c r="J240" s="18">
        <v>9111.61</v>
      </c>
      <c r="K240" s="18">
        <v>10436.74</v>
      </c>
      <c r="L240" s="19">
        <f t="shared" si="4"/>
        <v>779217.45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438691.5</v>
      </c>
      <c r="G242" s="18">
        <v>246268.24</v>
      </c>
      <c r="H242" s="18">
        <v>388208.2</v>
      </c>
      <c r="I242" s="18">
        <v>466545.79</v>
      </c>
      <c r="J242" s="18">
        <v>38477.94</v>
      </c>
      <c r="K242" s="18">
        <v>0</v>
      </c>
      <c r="L242" s="19">
        <f t="shared" si="4"/>
        <v>1578191.67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109856.51</v>
      </c>
      <c r="G243" s="18">
        <v>47606.52</v>
      </c>
      <c r="H243" s="18">
        <v>25444.85</v>
      </c>
      <c r="I243" s="18">
        <v>53796.56</v>
      </c>
      <c r="J243" s="18">
        <v>74463</v>
      </c>
      <c r="K243" s="18">
        <v>0</v>
      </c>
      <c r="L243" s="19">
        <f t="shared" si="4"/>
        <v>311167.44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956</v>
      </c>
      <c r="I244" s="18">
        <v>0</v>
      </c>
      <c r="J244" s="18">
        <v>0</v>
      </c>
      <c r="K244" s="18">
        <v>0</v>
      </c>
      <c r="L244" s="19">
        <f>SUM(F244:K244)</f>
        <v>956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5631332.7299999995</v>
      </c>
      <c r="G246" s="41">
        <f t="shared" si="5"/>
        <v>3323700.3699999996</v>
      </c>
      <c r="H246" s="41">
        <f t="shared" si="5"/>
        <v>1501765.1</v>
      </c>
      <c r="I246" s="41">
        <f t="shared" si="5"/>
        <v>782840.56</v>
      </c>
      <c r="J246" s="41">
        <f t="shared" si="5"/>
        <v>205642.81</v>
      </c>
      <c r="K246" s="41">
        <f t="shared" si="5"/>
        <v>21669.690000000002</v>
      </c>
      <c r="L246" s="41">
        <f t="shared" si="5"/>
        <v>11466951.259999998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13216298.189999998</v>
      </c>
      <c r="G256" s="41">
        <f t="shared" si="8"/>
        <v>7791933.5399999991</v>
      </c>
      <c r="H256" s="41">
        <f t="shared" si="8"/>
        <v>4197774.7899999991</v>
      </c>
      <c r="I256" s="41">
        <f t="shared" si="8"/>
        <v>1590904.35</v>
      </c>
      <c r="J256" s="41">
        <f t="shared" si="8"/>
        <v>429460.17</v>
      </c>
      <c r="K256" s="41">
        <f t="shared" si="8"/>
        <v>30346.670000000002</v>
      </c>
      <c r="L256" s="41">
        <f t="shared" si="8"/>
        <v>27256717.709999997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1850000</v>
      </c>
      <c r="L259" s="19">
        <f>SUM(F259:K259)</f>
        <v>1850000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995224.5</v>
      </c>
      <c r="L260" s="19">
        <f>SUM(F260:K260)</f>
        <v>995224.5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467429</v>
      </c>
      <c r="L265" s="19">
        <f t="shared" si="9"/>
        <v>467429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3312653.5</v>
      </c>
      <c r="L269" s="41">
        <f t="shared" si="9"/>
        <v>3312653.5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13216298.189999998</v>
      </c>
      <c r="G270" s="42">
        <f t="shared" si="11"/>
        <v>7791933.5399999991</v>
      </c>
      <c r="H270" s="42">
        <f t="shared" si="11"/>
        <v>4197774.7899999991</v>
      </c>
      <c r="I270" s="42">
        <f t="shared" si="11"/>
        <v>1590904.35</v>
      </c>
      <c r="J270" s="42">
        <f t="shared" si="11"/>
        <v>429460.17</v>
      </c>
      <c r="K270" s="42">
        <f t="shared" si="11"/>
        <v>3343000.17</v>
      </c>
      <c r="L270" s="42">
        <f t="shared" si="11"/>
        <v>30569371.209999997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302434.73</v>
      </c>
      <c r="G275" s="18">
        <v>129277.16</v>
      </c>
      <c r="H275" s="18">
        <v>0</v>
      </c>
      <c r="I275" s="18">
        <v>60858.76</v>
      </c>
      <c r="J275" s="18">
        <v>27222.09</v>
      </c>
      <c r="K275" s="18">
        <v>0</v>
      </c>
      <c r="L275" s="19">
        <f>SUM(F275:K275)</f>
        <v>519792.74000000005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26634.5</v>
      </c>
      <c r="G276" s="18">
        <v>15392.6</v>
      </c>
      <c r="H276" s="18">
        <v>134906.1</v>
      </c>
      <c r="I276" s="18">
        <v>5064.47</v>
      </c>
      <c r="J276" s="18">
        <v>6239.9</v>
      </c>
      <c r="K276" s="18">
        <v>0</v>
      </c>
      <c r="L276" s="19">
        <f>SUM(F276:K276)</f>
        <v>188237.57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151826.60999999999</v>
      </c>
      <c r="G278" s="18">
        <v>20901.37</v>
      </c>
      <c r="H278" s="18">
        <v>1210</v>
      </c>
      <c r="I278" s="18">
        <v>27246.5</v>
      </c>
      <c r="J278" s="18">
        <v>0</v>
      </c>
      <c r="K278" s="18">
        <v>0</v>
      </c>
      <c r="L278" s="19">
        <f>SUM(F278:K278)</f>
        <v>201184.47999999998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66773.460000000006</v>
      </c>
      <c r="G280" s="18">
        <v>30793.83</v>
      </c>
      <c r="H280" s="18">
        <v>133457.76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231025.05000000002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16406.900000000001</v>
      </c>
      <c r="G281" s="18">
        <v>2995.58</v>
      </c>
      <c r="H281" s="18">
        <v>96047.9</v>
      </c>
      <c r="I281" s="18">
        <v>7602.65</v>
      </c>
      <c r="J281" s="18">
        <v>4878.07</v>
      </c>
      <c r="K281" s="18">
        <v>0</v>
      </c>
      <c r="L281" s="19">
        <f t="shared" si="12"/>
        <v>127931.1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42737.919999999998</v>
      </c>
      <c r="I286" s="18">
        <v>0</v>
      </c>
      <c r="J286" s="18">
        <v>0</v>
      </c>
      <c r="K286" s="18">
        <v>0</v>
      </c>
      <c r="L286" s="19">
        <f t="shared" si="12"/>
        <v>42737.919999999998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564076.19999999995</v>
      </c>
      <c r="G289" s="42">
        <f t="shared" si="13"/>
        <v>199360.54</v>
      </c>
      <c r="H289" s="42">
        <f t="shared" si="13"/>
        <v>408359.67999999999</v>
      </c>
      <c r="I289" s="42">
        <f t="shared" si="13"/>
        <v>100772.37999999999</v>
      </c>
      <c r="J289" s="42">
        <f t="shared" si="13"/>
        <v>38340.06</v>
      </c>
      <c r="K289" s="42">
        <f t="shared" si="13"/>
        <v>0</v>
      </c>
      <c r="L289" s="41">
        <f t="shared" si="13"/>
        <v>1310908.8600000001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15991.92</v>
      </c>
      <c r="K294" s="18">
        <v>0</v>
      </c>
      <c r="L294" s="19">
        <f>SUM(F294:K294)</f>
        <v>15991.92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10429</v>
      </c>
      <c r="G299" s="18">
        <v>3266.72</v>
      </c>
      <c r="H299" s="18">
        <v>19250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32945.72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1200</v>
      </c>
      <c r="G300" s="18">
        <v>204.2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1404.2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11629</v>
      </c>
      <c r="G308" s="42">
        <f t="shared" si="15"/>
        <v>3470.9199999999996</v>
      </c>
      <c r="H308" s="42">
        <f t="shared" si="15"/>
        <v>19250</v>
      </c>
      <c r="I308" s="42">
        <f t="shared" si="15"/>
        <v>0</v>
      </c>
      <c r="J308" s="42">
        <f t="shared" si="15"/>
        <v>15991.92</v>
      </c>
      <c r="K308" s="42">
        <f t="shared" si="15"/>
        <v>0</v>
      </c>
      <c r="L308" s="41">
        <f t="shared" si="15"/>
        <v>50341.84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26361.51</v>
      </c>
      <c r="G313" s="18">
        <v>26684.400000000001</v>
      </c>
      <c r="H313" s="18">
        <v>68472.36</v>
      </c>
      <c r="I313" s="18">
        <v>0</v>
      </c>
      <c r="J313" s="18">
        <v>11500</v>
      </c>
      <c r="K313" s="18">
        <v>0</v>
      </c>
      <c r="L313" s="19">
        <f>SUM(F313:K313)</f>
        <v>133018.27000000002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2650</v>
      </c>
      <c r="I314" s="18">
        <v>0</v>
      </c>
      <c r="J314" s="18">
        <v>0</v>
      </c>
      <c r="K314" s="18">
        <v>0</v>
      </c>
      <c r="L314" s="19">
        <f>SUM(F314:K314)</f>
        <v>2650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7353.28</v>
      </c>
      <c r="G315" s="18">
        <v>7928.96</v>
      </c>
      <c r="H315" s="18">
        <v>3245</v>
      </c>
      <c r="I315" s="18">
        <v>2687.72</v>
      </c>
      <c r="J315" s="18">
        <v>52729.46</v>
      </c>
      <c r="K315" s="18">
        <v>0</v>
      </c>
      <c r="L315" s="19">
        <f>SUM(F315:K315)</f>
        <v>73944.42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32240</v>
      </c>
      <c r="G318" s="18">
        <v>10077.75</v>
      </c>
      <c r="H318" s="18">
        <v>1500.97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43818.720000000001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8280</v>
      </c>
      <c r="G319" s="18">
        <v>1440.1</v>
      </c>
      <c r="H319" s="18">
        <v>25760.71</v>
      </c>
      <c r="I319" s="18">
        <v>0</v>
      </c>
      <c r="J319" s="18">
        <v>0</v>
      </c>
      <c r="K319" s="18">
        <v>2484.7199999999998</v>
      </c>
      <c r="L319" s="19">
        <f t="shared" si="16"/>
        <v>37965.53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3435.66</v>
      </c>
      <c r="I324" s="18">
        <v>0</v>
      </c>
      <c r="J324" s="18">
        <v>0</v>
      </c>
      <c r="K324" s="18">
        <v>0</v>
      </c>
      <c r="L324" s="19">
        <f t="shared" si="16"/>
        <v>3435.66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74234.790000000008</v>
      </c>
      <c r="G327" s="42">
        <f t="shared" si="17"/>
        <v>46131.21</v>
      </c>
      <c r="H327" s="42">
        <f t="shared" si="17"/>
        <v>105064.70000000001</v>
      </c>
      <c r="I327" s="42">
        <f t="shared" si="17"/>
        <v>2687.72</v>
      </c>
      <c r="J327" s="42">
        <f t="shared" si="17"/>
        <v>64229.46</v>
      </c>
      <c r="K327" s="42">
        <f t="shared" si="17"/>
        <v>2484.7199999999998</v>
      </c>
      <c r="L327" s="41">
        <f t="shared" si="17"/>
        <v>294832.59999999998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14000</v>
      </c>
      <c r="G332" s="18">
        <v>2341.36</v>
      </c>
      <c r="H332" s="18">
        <v>1000</v>
      </c>
      <c r="I332" s="18">
        <v>11701.5</v>
      </c>
      <c r="J332" s="18">
        <v>4475.88</v>
      </c>
      <c r="K332" s="18">
        <v>0</v>
      </c>
      <c r="L332" s="19">
        <f t="shared" si="18"/>
        <v>33518.74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14000</v>
      </c>
      <c r="G336" s="41">
        <f t="shared" si="19"/>
        <v>2341.36</v>
      </c>
      <c r="H336" s="41">
        <f t="shared" si="19"/>
        <v>1000</v>
      </c>
      <c r="I336" s="41">
        <f t="shared" si="19"/>
        <v>11701.5</v>
      </c>
      <c r="J336" s="41">
        <f t="shared" si="19"/>
        <v>4475.88</v>
      </c>
      <c r="K336" s="41">
        <f t="shared" si="19"/>
        <v>0</v>
      </c>
      <c r="L336" s="41">
        <f t="shared" si="18"/>
        <v>33518.74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663939.99</v>
      </c>
      <c r="G337" s="41">
        <f t="shared" si="20"/>
        <v>251304.03</v>
      </c>
      <c r="H337" s="41">
        <f t="shared" si="20"/>
        <v>533674.38</v>
      </c>
      <c r="I337" s="41">
        <f t="shared" si="20"/>
        <v>115161.59999999999</v>
      </c>
      <c r="J337" s="41">
        <f t="shared" si="20"/>
        <v>123037.32</v>
      </c>
      <c r="K337" s="41">
        <f t="shared" si="20"/>
        <v>2484.7199999999998</v>
      </c>
      <c r="L337" s="41">
        <f t="shared" si="20"/>
        <v>1689602.0400000003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663939.99</v>
      </c>
      <c r="G351" s="41">
        <f>G337</f>
        <v>251304.03</v>
      </c>
      <c r="H351" s="41">
        <f>H337</f>
        <v>533674.38</v>
      </c>
      <c r="I351" s="41">
        <f>I337</f>
        <v>115161.59999999999</v>
      </c>
      <c r="J351" s="41">
        <f>J337</f>
        <v>123037.32</v>
      </c>
      <c r="K351" s="47">
        <f>K337+K350</f>
        <v>2484.7199999999998</v>
      </c>
      <c r="L351" s="41">
        <f>L337+L350</f>
        <v>1689602.0400000003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101897.58</v>
      </c>
      <c r="G357" s="18">
        <v>70599.100000000006</v>
      </c>
      <c r="H357" s="18">
        <v>7910.64</v>
      </c>
      <c r="I357" s="18">
        <v>145507.18</v>
      </c>
      <c r="J357" s="18">
        <v>164.41</v>
      </c>
      <c r="K357" s="18">
        <v>0</v>
      </c>
      <c r="L357" s="13">
        <f>SUM(F357:K357)</f>
        <v>326078.90999999997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41574.21</v>
      </c>
      <c r="G358" s="18">
        <v>28804.43</v>
      </c>
      <c r="H358" s="18">
        <v>3227.54</v>
      </c>
      <c r="I358" s="18">
        <v>59366.93</v>
      </c>
      <c r="J358" s="18">
        <v>67.08</v>
      </c>
      <c r="K358" s="18">
        <v>0</v>
      </c>
      <c r="L358" s="19">
        <f>SUM(F358:K358)</f>
        <v>133040.18999999997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128255.09</v>
      </c>
      <c r="G359" s="18">
        <v>88860.73</v>
      </c>
      <c r="H359" s="18">
        <v>9956.86</v>
      </c>
      <c r="I359" s="18">
        <v>183145.04</v>
      </c>
      <c r="J359" s="18">
        <v>206.94</v>
      </c>
      <c r="K359" s="18">
        <v>0</v>
      </c>
      <c r="L359" s="19">
        <f>SUM(F359:K359)</f>
        <v>410424.66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271726.88</v>
      </c>
      <c r="G361" s="47">
        <f t="shared" si="22"/>
        <v>188264.26</v>
      </c>
      <c r="H361" s="47">
        <f t="shared" si="22"/>
        <v>21095.040000000001</v>
      </c>
      <c r="I361" s="47">
        <f t="shared" si="22"/>
        <v>388019.15</v>
      </c>
      <c r="J361" s="47">
        <f t="shared" si="22"/>
        <v>438.43</v>
      </c>
      <c r="K361" s="47">
        <f t="shared" si="22"/>
        <v>0</v>
      </c>
      <c r="L361" s="47">
        <f t="shared" si="22"/>
        <v>869543.76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135699.25</v>
      </c>
      <c r="G366" s="18">
        <v>55365.29</v>
      </c>
      <c r="H366" s="18">
        <v>170800.13</v>
      </c>
      <c r="I366" s="56">
        <f>SUM(F366:H366)</f>
        <v>361864.67000000004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9807.93</v>
      </c>
      <c r="G367" s="63">
        <v>4001.64</v>
      </c>
      <c r="H367" s="63">
        <v>12344.91</v>
      </c>
      <c r="I367" s="56">
        <f>SUM(F367:H367)</f>
        <v>26154.48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145507.18</v>
      </c>
      <c r="G368" s="47">
        <f>SUM(G366:G367)</f>
        <v>59366.93</v>
      </c>
      <c r="H368" s="47">
        <f>SUM(H366:H367)</f>
        <v>183145.04</v>
      </c>
      <c r="I368" s="47">
        <f>SUM(I366:I367)</f>
        <v>388019.15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13647.58</v>
      </c>
      <c r="I379" s="18">
        <v>0</v>
      </c>
      <c r="J379" s="18">
        <v>0</v>
      </c>
      <c r="K379" s="18">
        <v>0</v>
      </c>
      <c r="L379" s="13">
        <f t="shared" si="23"/>
        <v>13647.58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13647.58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13647.58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186000</v>
      </c>
      <c r="H389" s="18">
        <v>26.82</v>
      </c>
      <c r="I389" s="18">
        <v>0</v>
      </c>
      <c r="J389" s="24" t="s">
        <v>289</v>
      </c>
      <c r="K389" s="24" t="s">
        <v>289</v>
      </c>
      <c r="L389" s="56">
        <f t="shared" si="25"/>
        <v>186026.82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22.79</v>
      </c>
      <c r="I391" s="18">
        <v>0</v>
      </c>
      <c r="J391" s="24" t="s">
        <v>289</v>
      </c>
      <c r="K391" s="24" t="s">
        <v>289</v>
      </c>
      <c r="L391" s="56">
        <f t="shared" si="25"/>
        <v>22.79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186000</v>
      </c>
      <c r="H392" s="139">
        <f>SUM(H386:H391)</f>
        <v>49.61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186049.61000000002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181429</v>
      </c>
      <c r="H395" s="18">
        <v>394.39</v>
      </c>
      <c r="I395" s="18">
        <v>0</v>
      </c>
      <c r="J395" s="24" t="s">
        <v>289</v>
      </c>
      <c r="K395" s="24" t="s">
        <v>289</v>
      </c>
      <c r="L395" s="56">
        <f t="shared" si="26"/>
        <v>181823.39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100000</v>
      </c>
      <c r="H396" s="18">
        <v>160.09</v>
      </c>
      <c r="I396" s="18">
        <v>0</v>
      </c>
      <c r="J396" s="24" t="s">
        <v>289</v>
      </c>
      <c r="K396" s="24" t="s">
        <v>289</v>
      </c>
      <c r="L396" s="56">
        <f t="shared" si="26"/>
        <v>100160.09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33.79</v>
      </c>
      <c r="I397" s="18">
        <v>0</v>
      </c>
      <c r="J397" s="24" t="s">
        <v>289</v>
      </c>
      <c r="K397" s="24" t="s">
        <v>289</v>
      </c>
      <c r="L397" s="56">
        <f t="shared" si="26"/>
        <v>33.79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281429</v>
      </c>
      <c r="H400" s="47">
        <f>SUM(H394:H399)</f>
        <v>588.27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282017.26999999996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 t="s">
        <v>909</v>
      </c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25.5</v>
      </c>
      <c r="I402" s="18">
        <v>0</v>
      </c>
      <c r="J402" s="24" t="s">
        <v>289</v>
      </c>
      <c r="K402" s="24" t="s">
        <v>289</v>
      </c>
      <c r="L402" s="56">
        <f>SUM(F402:K402)</f>
        <v>25.5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25.5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25.5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467429</v>
      </c>
      <c r="H407" s="47">
        <f>H392+H400+H406</f>
        <v>663.38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468092.38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161998</v>
      </c>
      <c r="L415" s="56">
        <f t="shared" si="27"/>
        <v>161998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161998</v>
      </c>
      <c r="L418" s="47">
        <f t="shared" si="28"/>
        <v>161998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1000</v>
      </c>
      <c r="I428" s="18">
        <v>0</v>
      </c>
      <c r="J428" s="18">
        <v>0</v>
      </c>
      <c r="K428" s="18">
        <v>0</v>
      </c>
      <c r="L428" s="56">
        <f>SUM(F428:K428)</f>
        <v>1000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1000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1000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1000</v>
      </c>
      <c r="I433" s="47">
        <f t="shared" si="32"/>
        <v>0</v>
      </c>
      <c r="J433" s="47">
        <f t="shared" si="32"/>
        <v>0</v>
      </c>
      <c r="K433" s="47">
        <f t="shared" si="32"/>
        <v>161998</v>
      </c>
      <c r="L433" s="47">
        <f t="shared" si="32"/>
        <v>162998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58788.67</v>
      </c>
      <c r="G438" s="18">
        <v>1015556.58</v>
      </c>
      <c r="H438" s="18">
        <v>33397.300000000003</v>
      </c>
      <c r="I438" s="56">
        <f t="shared" ref="I438:I444" si="33">SUM(F438:H438)</f>
        <v>1107742.55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58788.67</v>
      </c>
      <c r="G445" s="13">
        <f>SUM(G438:G444)</f>
        <v>1015556.58</v>
      </c>
      <c r="H445" s="13">
        <f>SUM(H438:H444)</f>
        <v>33397.300000000003</v>
      </c>
      <c r="I445" s="13">
        <f>SUM(I438:I444)</f>
        <v>1107742.55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58788.67</v>
      </c>
      <c r="G458" s="18">
        <v>1015556.58</v>
      </c>
      <c r="H458" s="18">
        <v>33397.300000000003</v>
      </c>
      <c r="I458" s="56">
        <f t="shared" si="34"/>
        <v>1107742.55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58788.67</v>
      </c>
      <c r="G459" s="83">
        <f>SUM(G453:G458)</f>
        <v>1015556.58</v>
      </c>
      <c r="H459" s="83">
        <f>SUM(H453:H458)</f>
        <v>33397.300000000003</v>
      </c>
      <c r="I459" s="83">
        <f>SUM(I453:I458)</f>
        <v>1107742.55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58788.67</v>
      </c>
      <c r="G460" s="42">
        <f>G451+G459</f>
        <v>1015556.58</v>
      </c>
      <c r="H460" s="42">
        <f>H451+H459</f>
        <v>33397.300000000003</v>
      </c>
      <c r="I460" s="42">
        <f>I451+I459</f>
        <v>1107742.55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470732.23</v>
      </c>
      <c r="G464" s="18">
        <v>58572.18</v>
      </c>
      <c r="H464" s="18">
        <v>83394.59</v>
      </c>
      <c r="I464" s="18">
        <v>13624.27</v>
      </c>
      <c r="J464" s="18">
        <v>802648.17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31044062.309999999</v>
      </c>
      <c r="G467" s="18">
        <v>894541.24</v>
      </c>
      <c r="H467" s="18">
        <v>1688542.58</v>
      </c>
      <c r="I467" s="18">
        <v>2.82</v>
      </c>
      <c r="J467" s="18">
        <v>468092.38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20.49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31044062.309999999</v>
      </c>
      <c r="G469" s="53">
        <f>SUM(G467:G468)</f>
        <v>894541.24</v>
      </c>
      <c r="H469" s="53">
        <f>SUM(H467:H468)</f>
        <v>1688542.58</v>
      </c>
      <c r="I469" s="53">
        <f>SUM(I467:I468)</f>
        <v>23.31</v>
      </c>
      <c r="J469" s="53">
        <f>SUM(J467:J468)</f>
        <v>468092.38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30569371.210000001</v>
      </c>
      <c r="G471" s="18">
        <v>869543.76</v>
      </c>
      <c r="H471" s="18">
        <v>1689602.04</v>
      </c>
      <c r="I471" s="18">
        <v>13647.58</v>
      </c>
      <c r="J471" s="18">
        <v>162998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14847.96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30569371.210000001</v>
      </c>
      <c r="G473" s="53">
        <f>SUM(G471:G472)</f>
        <v>884391.72</v>
      </c>
      <c r="H473" s="53">
        <f>SUM(H471:H472)</f>
        <v>1689602.04</v>
      </c>
      <c r="I473" s="53">
        <f>SUM(I471:I472)</f>
        <v>13647.58</v>
      </c>
      <c r="J473" s="53">
        <f>SUM(J471:J472)</f>
        <v>162998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945423.32999999821</v>
      </c>
      <c r="G475" s="53">
        <f>(G464+G469)- G473</f>
        <v>68721.70000000007</v>
      </c>
      <c r="H475" s="53">
        <f>(H464+H469)- H473</f>
        <v>82335.130000000121</v>
      </c>
      <c r="I475" s="53">
        <f>(I464+I469)- I473</f>
        <v>0</v>
      </c>
      <c r="J475" s="53">
        <f>(J464+J469)- J473</f>
        <v>1107742.55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20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 t="s">
        <v>912</v>
      </c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 t="s">
        <v>913</v>
      </c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42120000</v>
      </c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</v>
      </c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22160000</v>
      </c>
      <c r="G494" s="18"/>
      <c r="H494" s="18"/>
      <c r="I494" s="18"/>
      <c r="J494" s="18"/>
      <c r="K494" s="53">
        <f>SUM(F494:J494)</f>
        <v>22160000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1850000</v>
      </c>
      <c r="G496" s="18"/>
      <c r="H496" s="18"/>
      <c r="I496" s="18"/>
      <c r="J496" s="18"/>
      <c r="K496" s="53">
        <f t="shared" si="35"/>
        <v>1850000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20310000</v>
      </c>
      <c r="G497" s="203"/>
      <c r="H497" s="203"/>
      <c r="I497" s="203"/>
      <c r="J497" s="203"/>
      <c r="K497" s="204">
        <f t="shared" si="35"/>
        <v>20310000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5149775.26</v>
      </c>
      <c r="G498" s="18"/>
      <c r="H498" s="18"/>
      <c r="I498" s="18"/>
      <c r="J498" s="18"/>
      <c r="K498" s="53">
        <f t="shared" si="35"/>
        <v>5149775.26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25459775.259999998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25459775.259999998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1850000</v>
      </c>
      <c r="G500" s="203"/>
      <c r="H500" s="203"/>
      <c r="I500" s="203"/>
      <c r="J500" s="203"/>
      <c r="K500" s="204">
        <f t="shared" si="35"/>
        <v>1850000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902725</v>
      </c>
      <c r="G501" s="18"/>
      <c r="H501" s="18"/>
      <c r="I501" s="18"/>
      <c r="J501" s="18"/>
      <c r="K501" s="53">
        <f t="shared" si="35"/>
        <v>902725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2752725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2752725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1078807.78</v>
      </c>
      <c r="G520" s="18">
        <v>674739.95</v>
      </c>
      <c r="H520" s="18">
        <v>1148741.46</v>
      </c>
      <c r="I520" s="18">
        <v>1810.42</v>
      </c>
      <c r="J520" s="18">
        <v>6239.9</v>
      </c>
      <c r="K520" s="18">
        <v>0</v>
      </c>
      <c r="L520" s="88">
        <f>SUM(F520:K520)</f>
        <v>2910339.51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386824.1</v>
      </c>
      <c r="G521" s="18">
        <v>248922.25</v>
      </c>
      <c r="H521" s="18">
        <v>149756.93</v>
      </c>
      <c r="I521" s="18">
        <v>3654.75</v>
      </c>
      <c r="J521" s="18">
        <v>500</v>
      </c>
      <c r="K521" s="18">
        <v>0</v>
      </c>
      <c r="L521" s="88">
        <f>SUM(F521:K521)</f>
        <v>789658.03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692315.71</v>
      </c>
      <c r="G522" s="18">
        <v>436002.51</v>
      </c>
      <c r="H522" s="18">
        <v>393234.49</v>
      </c>
      <c r="I522" s="18">
        <v>5034.7700000000004</v>
      </c>
      <c r="J522" s="18">
        <v>3538.59</v>
      </c>
      <c r="K522" s="18">
        <v>0</v>
      </c>
      <c r="L522" s="88">
        <f>SUM(F522:K522)</f>
        <v>1530126.07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2157947.59</v>
      </c>
      <c r="G523" s="108">
        <f t="shared" ref="G523:L523" si="36">SUM(G520:G522)</f>
        <v>1359664.71</v>
      </c>
      <c r="H523" s="108">
        <f t="shared" si="36"/>
        <v>1691732.88</v>
      </c>
      <c r="I523" s="108">
        <f t="shared" si="36"/>
        <v>10499.94</v>
      </c>
      <c r="J523" s="108">
        <f t="shared" si="36"/>
        <v>10278.49</v>
      </c>
      <c r="K523" s="108">
        <f t="shared" si="36"/>
        <v>0</v>
      </c>
      <c r="L523" s="89">
        <f t="shared" si="36"/>
        <v>5230123.6100000003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272206.55</v>
      </c>
      <c r="G525" s="18">
        <v>150429.47</v>
      </c>
      <c r="H525" s="18">
        <v>260021.18</v>
      </c>
      <c r="I525" s="18">
        <v>734.22</v>
      </c>
      <c r="J525" s="18">
        <v>0</v>
      </c>
      <c r="K525" s="18">
        <v>0</v>
      </c>
      <c r="L525" s="88">
        <f>SUM(F525:K525)</f>
        <v>683391.41999999993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84065.13</v>
      </c>
      <c r="G526" s="18">
        <v>31564.9</v>
      </c>
      <c r="H526" s="18">
        <v>20284.5</v>
      </c>
      <c r="I526" s="18">
        <v>200</v>
      </c>
      <c r="J526" s="18">
        <v>0</v>
      </c>
      <c r="K526" s="18">
        <v>0</v>
      </c>
      <c r="L526" s="88">
        <f>SUM(F526:K526)</f>
        <v>136114.53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188328.07</v>
      </c>
      <c r="G527" s="18">
        <v>91925.11</v>
      </c>
      <c r="H527" s="18">
        <v>9492.26</v>
      </c>
      <c r="I527" s="18">
        <v>0</v>
      </c>
      <c r="J527" s="18">
        <v>0</v>
      </c>
      <c r="K527" s="18">
        <v>0</v>
      </c>
      <c r="L527" s="88">
        <f>SUM(F527:K527)</f>
        <v>289745.44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544599.75</v>
      </c>
      <c r="G528" s="89">
        <f t="shared" ref="G528:L528" si="37">SUM(G525:G527)</f>
        <v>273919.48</v>
      </c>
      <c r="H528" s="89">
        <f t="shared" si="37"/>
        <v>289797.94</v>
      </c>
      <c r="I528" s="89">
        <f t="shared" si="37"/>
        <v>934.22</v>
      </c>
      <c r="J528" s="89">
        <f t="shared" si="37"/>
        <v>0</v>
      </c>
      <c r="K528" s="89">
        <f t="shared" si="37"/>
        <v>0</v>
      </c>
      <c r="L528" s="89">
        <f t="shared" si="37"/>
        <v>1109251.3899999999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54077.23</v>
      </c>
      <c r="I530" s="18">
        <v>0</v>
      </c>
      <c r="J530" s="18">
        <v>0</v>
      </c>
      <c r="K530" s="18">
        <v>0</v>
      </c>
      <c r="L530" s="88">
        <f>SUM(F530:K530)</f>
        <v>54077.23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33480.29</v>
      </c>
      <c r="I531" s="18">
        <v>0</v>
      </c>
      <c r="J531" s="18">
        <v>0</v>
      </c>
      <c r="K531" s="18">
        <v>0</v>
      </c>
      <c r="L531" s="88">
        <f>SUM(F531:K531)</f>
        <v>33480.29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56648.42</v>
      </c>
      <c r="I532" s="18">
        <v>0</v>
      </c>
      <c r="J532" s="18">
        <v>0</v>
      </c>
      <c r="K532" s="18">
        <v>0</v>
      </c>
      <c r="L532" s="88">
        <f>SUM(F532:K532)</f>
        <v>56648.42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144205.94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144205.94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25936.58</v>
      </c>
      <c r="G540" s="18">
        <v>11560.08</v>
      </c>
      <c r="H540" s="18">
        <v>41961.26</v>
      </c>
      <c r="I540" s="18">
        <v>4808.3599999999997</v>
      </c>
      <c r="J540" s="18">
        <v>0</v>
      </c>
      <c r="K540" s="18">
        <v>0</v>
      </c>
      <c r="L540" s="88">
        <f>SUM(F540:K540)</f>
        <v>84266.280000000013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3458.22</v>
      </c>
      <c r="G541" s="18">
        <v>1541.35</v>
      </c>
      <c r="H541" s="18">
        <v>1795.74</v>
      </c>
      <c r="I541" s="18">
        <v>641.11</v>
      </c>
      <c r="J541" s="18">
        <v>0</v>
      </c>
      <c r="K541" s="18">
        <v>0</v>
      </c>
      <c r="L541" s="88">
        <f>SUM(F541:K541)</f>
        <v>7436.4199999999992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5187.32</v>
      </c>
      <c r="G542" s="18">
        <v>2312.02</v>
      </c>
      <c r="H542" s="18">
        <v>5255.61</v>
      </c>
      <c r="I542" s="18">
        <v>961.66</v>
      </c>
      <c r="J542" s="18">
        <v>0</v>
      </c>
      <c r="K542" s="18">
        <v>0</v>
      </c>
      <c r="L542" s="88">
        <f>SUM(F542:K542)</f>
        <v>13716.61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34582.120000000003</v>
      </c>
      <c r="G543" s="192">
        <f t="shared" ref="G543:L543" si="40">SUM(G540:G542)</f>
        <v>15413.45</v>
      </c>
      <c r="H543" s="192">
        <f t="shared" si="40"/>
        <v>49012.61</v>
      </c>
      <c r="I543" s="192">
        <f t="shared" si="40"/>
        <v>6411.1299999999992</v>
      </c>
      <c r="J543" s="192">
        <f t="shared" si="40"/>
        <v>0</v>
      </c>
      <c r="K543" s="192">
        <f t="shared" si="40"/>
        <v>0</v>
      </c>
      <c r="L543" s="192">
        <f t="shared" si="40"/>
        <v>105419.31000000001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2737129.46</v>
      </c>
      <c r="G544" s="89">
        <f t="shared" ref="G544:L544" si="41">G523+G528+G533+G538+G543</f>
        <v>1648997.64</v>
      </c>
      <c r="H544" s="89">
        <f t="shared" si="41"/>
        <v>2174749.3699999996</v>
      </c>
      <c r="I544" s="89">
        <f t="shared" si="41"/>
        <v>17845.29</v>
      </c>
      <c r="J544" s="89">
        <f t="shared" si="41"/>
        <v>10278.49</v>
      </c>
      <c r="K544" s="89">
        <f t="shared" si="41"/>
        <v>0</v>
      </c>
      <c r="L544" s="89">
        <f t="shared" si="41"/>
        <v>6589000.25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2910339.51</v>
      </c>
      <c r="G548" s="87">
        <f>L525</f>
        <v>683391.41999999993</v>
      </c>
      <c r="H548" s="87">
        <f>L530</f>
        <v>54077.23</v>
      </c>
      <c r="I548" s="87">
        <f>L535</f>
        <v>0</v>
      </c>
      <c r="J548" s="87">
        <f>L540</f>
        <v>84266.280000000013</v>
      </c>
      <c r="K548" s="87">
        <f>SUM(F548:J548)</f>
        <v>3732074.4399999995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789658.03</v>
      </c>
      <c r="G549" s="87">
        <f>L526</f>
        <v>136114.53</v>
      </c>
      <c r="H549" s="87">
        <f>L531</f>
        <v>33480.29</v>
      </c>
      <c r="I549" s="87">
        <f>L536</f>
        <v>0</v>
      </c>
      <c r="J549" s="87">
        <f>L541</f>
        <v>7436.4199999999992</v>
      </c>
      <c r="K549" s="87">
        <f>SUM(F549:J549)</f>
        <v>966689.27000000014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1530126.07</v>
      </c>
      <c r="G550" s="87">
        <f>L527</f>
        <v>289745.44</v>
      </c>
      <c r="H550" s="87">
        <f>L532</f>
        <v>56648.42</v>
      </c>
      <c r="I550" s="87">
        <f>L537</f>
        <v>0</v>
      </c>
      <c r="J550" s="87">
        <f>L542</f>
        <v>13716.61</v>
      </c>
      <c r="K550" s="87">
        <f>SUM(F550:J550)</f>
        <v>1890236.54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5230123.6100000003</v>
      </c>
      <c r="G551" s="89">
        <f t="shared" si="42"/>
        <v>1109251.3899999999</v>
      </c>
      <c r="H551" s="89">
        <f t="shared" si="42"/>
        <v>144205.94</v>
      </c>
      <c r="I551" s="89">
        <f t="shared" si="42"/>
        <v>0</v>
      </c>
      <c r="J551" s="89">
        <f t="shared" si="42"/>
        <v>105419.31000000001</v>
      </c>
      <c r="K551" s="89">
        <f t="shared" si="42"/>
        <v>6589000.25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40581.230000000003</v>
      </c>
      <c r="G578" s="18">
        <v>0</v>
      </c>
      <c r="H578" s="18">
        <v>0</v>
      </c>
      <c r="I578" s="87">
        <f t="shared" si="47"/>
        <v>40581.230000000003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659725.25</v>
      </c>
      <c r="G581" s="18">
        <v>43174.62</v>
      </c>
      <c r="H581" s="18">
        <v>235047.35</v>
      </c>
      <c r="I581" s="87">
        <f t="shared" si="47"/>
        <v>937947.22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234070.85</v>
      </c>
      <c r="G582" s="18">
        <v>97981.88</v>
      </c>
      <c r="H582" s="18">
        <v>120936.7</v>
      </c>
      <c r="I582" s="87">
        <f t="shared" si="47"/>
        <v>452989.43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198133.83</v>
      </c>
      <c r="I590" s="18">
        <v>81286.929999999993</v>
      </c>
      <c r="J590" s="18">
        <v>257283.35</v>
      </c>
      <c r="K590" s="104">
        <f t="shared" ref="K590:K596" si="48">SUM(H590:J590)</f>
        <v>536704.11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55773</v>
      </c>
      <c r="I591" s="18">
        <v>7436.42</v>
      </c>
      <c r="J591" s="18">
        <v>11154.61</v>
      </c>
      <c r="K591" s="104">
        <f t="shared" si="48"/>
        <v>74364.03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8708.4599999999991</v>
      </c>
      <c r="J593" s="18">
        <v>39504.57</v>
      </c>
      <c r="K593" s="104">
        <f t="shared" si="48"/>
        <v>48213.03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17844.21</v>
      </c>
      <c r="I594" s="18">
        <v>3506.79</v>
      </c>
      <c r="J594" s="18">
        <v>3224.91</v>
      </c>
      <c r="K594" s="104">
        <f t="shared" si="48"/>
        <v>24575.91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15396.61</v>
      </c>
      <c r="I596" s="18">
        <v>0</v>
      </c>
      <c r="J596" s="18">
        <v>0</v>
      </c>
      <c r="K596" s="104">
        <f t="shared" si="48"/>
        <v>15396.61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287147.64999999997</v>
      </c>
      <c r="I597" s="108">
        <f>SUM(I590:I596)</f>
        <v>100938.59999999999</v>
      </c>
      <c r="J597" s="108">
        <f>SUM(J590:J596)</f>
        <v>311167.44</v>
      </c>
      <c r="K597" s="108">
        <f>SUM(K590:K596)</f>
        <v>699253.69000000006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193267.77-164.41</f>
        <v>193103.35999999999</v>
      </c>
      <c r="I603" s="18">
        <f>85113.06-67.08</f>
        <v>85045.98</v>
      </c>
      <c r="J603" s="18">
        <f>270079.21-206.94+4475.88</f>
        <v>274348.15000000002</v>
      </c>
      <c r="K603" s="104">
        <f>SUM(H603:J603)</f>
        <v>552497.49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193103.35999999999</v>
      </c>
      <c r="I604" s="108">
        <f>SUM(I601:I603)</f>
        <v>85045.98</v>
      </c>
      <c r="J604" s="108">
        <f>SUM(J601:J603)</f>
        <v>274348.15000000002</v>
      </c>
      <c r="K604" s="108">
        <f>SUM(K601:K603)</f>
        <v>552497.49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5040</v>
      </c>
      <c r="G611" s="18">
        <v>812.69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5852.6900000000005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7800</v>
      </c>
      <c r="G612" s="18">
        <v>1441.46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9241.4599999999991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12840</v>
      </c>
      <c r="G613" s="108">
        <f t="shared" si="49"/>
        <v>2254.15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15094.15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1156308.03</v>
      </c>
      <c r="H616" s="109">
        <f>SUM(F51)</f>
        <v>1156308.03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526829.17000000004</v>
      </c>
      <c r="H617" s="109">
        <f>SUM(G51)</f>
        <v>526829.16999999993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310402.24</v>
      </c>
      <c r="H618" s="109">
        <f>SUM(H51)</f>
        <v>310402.24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1107742.55</v>
      </c>
      <c r="H620" s="109">
        <f>SUM(J51)</f>
        <v>1107742.55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945423.33</v>
      </c>
      <c r="H621" s="109">
        <f>F475</f>
        <v>945423.32999999821</v>
      </c>
      <c r="I621" s="121" t="s">
        <v>101</v>
      </c>
      <c r="J621" s="109">
        <f t="shared" ref="J621:J654" si="50">G621-H621</f>
        <v>1.7462298274040222E-9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68721.7</v>
      </c>
      <c r="H622" s="109">
        <f>G475</f>
        <v>68721.70000000007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82335.13</v>
      </c>
      <c r="H623" s="109">
        <f>H475</f>
        <v>82335.130000000121</v>
      </c>
      <c r="I623" s="121" t="s">
        <v>103</v>
      </c>
      <c r="J623" s="109">
        <f t="shared" si="50"/>
        <v>-1.1641532182693481E-10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1107742.55</v>
      </c>
      <c r="H625" s="109">
        <f>J475</f>
        <v>1107742.55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31044062.309999999</v>
      </c>
      <c r="H626" s="104">
        <f>SUM(F467)</f>
        <v>31044062.309999999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894541.24</v>
      </c>
      <c r="H627" s="104">
        <f>SUM(G467)</f>
        <v>894541.24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1688542.58</v>
      </c>
      <c r="H628" s="104">
        <f>SUM(H467)</f>
        <v>1688542.58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2.82</v>
      </c>
      <c r="H629" s="104">
        <f>SUM(I467)</f>
        <v>2.82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468092.38</v>
      </c>
      <c r="H630" s="104">
        <f>SUM(J467)</f>
        <v>468092.38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30569371.209999997</v>
      </c>
      <c r="H631" s="104">
        <f>SUM(F471)</f>
        <v>30569371.210000001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1689602.0400000003</v>
      </c>
      <c r="H632" s="104">
        <f>SUM(H471)</f>
        <v>1689602.04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388019.15</v>
      </c>
      <c r="H633" s="104">
        <f>I368</f>
        <v>388019.15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869543.76</v>
      </c>
      <c r="H634" s="104">
        <f>SUM(G471)</f>
        <v>869543.76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13647.58</v>
      </c>
      <c r="H635" s="104">
        <f>SUM(I471)</f>
        <v>13647.58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468092.38</v>
      </c>
      <c r="H636" s="163">
        <f>SUM(J467)</f>
        <v>468092.38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162998</v>
      </c>
      <c r="H637" s="163">
        <f>SUM(J471)</f>
        <v>162998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58788.67</v>
      </c>
      <c r="H638" s="104">
        <f>SUM(F460)</f>
        <v>58788.67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1015556.58</v>
      </c>
      <c r="H639" s="104">
        <f>SUM(G460)</f>
        <v>1015556.58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33397.300000000003</v>
      </c>
      <c r="H640" s="104">
        <f>SUM(H460)</f>
        <v>33397.300000000003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1107742.55</v>
      </c>
      <c r="H641" s="104">
        <f>SUM(I460)</f>
        <v>1107742.55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663.38</v>
      </c>
      <c r="H643" s="104">
        <f>H407</f>
        <v>663.38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467429</v>
      </c>
      <c r="H644" s="104">
        <f>G407</f>
        <v>467429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468092.38</v>
      </c>
      <c r="H645" s="104">
        <f>L407</f>
        <v>468092.38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699253.69000000006</v>
      </c>
      <c r="H646" s="104">
        <f>L207+L225+L243</f>
        <v>699253.69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552497.49</v>
      </c>
      <c r="H647" s="104">
        <f>(J256+J337)-(J254+J335)</f>
        <v>552497.49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287147.65000000002</v>
      </c>
      <c r="H648" s="104">
        <f>H597</f>
        <v>287147.64999999997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100938.6</v>
      </c>
      <c r="H649" s="104">
        <f>I597</f>
        <v>100938.59999999999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311167.44</v>
      </c>
      <c r="H650" s="104">
        <f>J597</f>
        <v>311167.44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467429</v>
      </c>
      <c r="H654" s="104">
        <f>K265+K346</f>
        <v>467429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12565495.999999998</v>
      </c>
      <c r="G659" s="19">
        <f>(L228+L308+L358)</f>
        <v>5044640.25</v>
      </c>
      <c r="H659" s="19">
        <f>(L246+L327+L359)</f>
        <v>12172208.519999998</v>
      </c>
      <c r="I659" s="19">
        <f>SUM(F659:H659)</f>
        <v>29782344.769999996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164337.11624999996</v>
      </c>
      <c r="G660" s="19">
        <f>(L358/IF(SUM(L357:L359)=0,1,SUM(L357:L359))*(SUM(G96:G109)))</f>
        <v>67049.540768987732</v>
      </c>
      <c r="H660" s="19">
        <f>(L359/IF(SUM(L357:L359)=0,1,SUM(L357:L359))*(SUM(G96:G109)))</f>
        <v>206845.65298101224</v>
      </c>
      <c r="I660" s="19">
        <f>SUM(F660:H660)</f>
        <v>438232.30999999994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267136.57</v>
      </c>
      <c r="G661" s="19">
        <f>(L225+L305)-(J225+J305)</f>
        <v>76152.600000000006</v>
      </c>
      <c r="H661" s="19">
        <f>(L243+L324)-(J243+J324)</f>
        <v>240140.09999999998</v>
      </c>
      <c r="I661" s="19">
        <f>SUM(F661:H661)</f>
        <v>583429.27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1127480.69</v>
      </c>
      <c r="G662" s="198">
        <f>SUM(G574:G586)+SUM(I601:I603)+L611</f>
        <v>232055.16999999998</v>
      </c>
      <c r="H662" s="198">
        <f>SUM(H574:H586)+SUM(J601:J603)+L612</f>
        <v>639573.65999999992</v>
      </c>
      <c r="I662" s="19">
        <f>SUM(F662:H662)</f>
        <v>1999109.5199999998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11006541.623749997</v>
      </c>
      <c r="G663" s="19">
        <f>G659-SUM(G660:G662)</f>
        <v>4669382.939231012</v>
      </c>
      <c r="H663" s="19">
        <f>H659-SUM(H660:H662)</f>
        <v>11085649.107018985</v>
      </c>
      <c r="I663" s="19">
        <f>I659-SUM(I660:I662)</f>
        <v>26761573.669999994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728.56</v>
      </c>
      <c r="G664" s="247">
        <v>297.08999999999997</v>
      </c>
      <c r="H664" s="247">
        <v>885.85</v>
      </c>
      <c r="I664" s="19">
        <f>SUM(F664:H664)</f>
        <v>1911.5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15107.25</v>
      </c>
      <c r="G666" s="19">
        <f>ROUND(G663/G664,2)</f>
        <v>15717.07</v>
      </c>
      <c r="H666" s="19">
        <f>ROUND(H663/H664,2)</f>
        <v>12514.14</v>
      </c>
      <c r="I666" s="19">
        <f>ROUND(I663/I664,2)</f>
        <v>14000.3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15107.25</v>
      </c>
      <c r="G671" s="19">
        <f>ROUND((G663+G668)/(G664+G669),2)</f>
        <v>15717.07</v>
      </c>
      <c r="H671" s="19">
        <f>ROUND((H663+H668)/(H664+H669),2)</f>
        <v>12514.14</v>
      </c>
      <c r="I671" s="19">
        <f>ROUND((I663+I668)/(I664+I669),2)</f>
        <v>14000.3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CONWAY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6995392.2199999988</v>
      </c>
      <c r="C9" s="228">
        <f>'DOE25'!G196+'DOE25'!G214+'DOE25'!G232+'DOE25'!G275+'DOE25'!G294+'DOE25'!G313</f>
        <v>4326409.8500000006</v>
      </c>
    </row>
    <row r="10" spans="1:3" x14ac:dyDescent="0.2">
      <c r="A10" t="s">
        <v>779</v>
      </c>
      <c r="B10" s="239">
        <v>6170337.29</v>
      </c>
      <c r="C10" s="239">
        <v>4014908.35</v>
      </c>
    </row>
    <row r="11" spans="1:3" x14ac:dyDescent="0.2">
      <c r="A11" t="s">
        <v>780</v>
      </c>
      <c r="B11" s="239">
        <v>265227.3</v>
      </c>
      <c r="C11" s="239">
        <v>168729.98</v>
      </c>
    </row>
    <row r="12" spans="1:3" x14ac:dyDescent="0.2">
      <c r="A12" t="s">
        <v>781</v>
      </c>
      <c r="B12" s="239">
        <v>559827.63</v>
      </c>
      <c r="C12" s="239">
        <v>142771.51999999999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6995392.2199999997</v>
      </c>
      <c r="C13" s="230">
        <f>SUM(C10:C12)</f>
        <v>4326409.8499999996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2157947.59</v>
      </c>
      <c r="C18" s="228">
        <f>'DOE25'!G197+'DOE25'!G215+'DOE25'!G233+'DOE25'!G276+'DOE25'!G295+'DOE25'!G314</f>
        <v>1359664.71</v>
      </c>
    </row>
    <row r="19" spans="1:3" x14ac:dyDescent="0.2">
      <c r="A19" t="s">
        <v>779</v>
      </c>
      <c r="B19" s="239">
        <v>1060946.48</v>
      </c>
      <c r="C19" s="239">
        <v>527753.86</v>
      </c>
    </row>
    <row r="20" spans="1:3" x14ac:dyDescent="0.2">
      <c r="A20" t="s">
        <v>780</v>
      </c>
      <c r="B20" s="239">
        <v>1071722.8500000001</v>
      </c>
      <c r="C20" s="239">
        <v>829395.47</v>
      </c>
    </row>
    <row r="21" spans="1:3" x14ac:dyDescent="0.2">
      <c r="A21" t="s">
        <v>781</v>
      </c>
      <c r="B21" s="239">
        <v>25278.26</v>
      </c>
      <c r="C21" s="239">
        <v>2515.38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2157947.59</v>
      </c>
      <c r="C22" s="230">
        <f>SUM(C19:C21)</f>
        <v>1359664.71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443448.45</v>
      </c>
      <c r="C27" s="233">
        <f>'DOE25'!G198+'DOE25'!G216+'DOE25'!G234+'DOE25'!G277+'DOE25'!G296+'DOE25'!G315</f>
        <v>218011.94999999998</v>
      </c>
    </row>
    <row r="28" spans="1:3" x14ac:dyDescent="0.2">
      <c r="A28" t="s">
        <v>779</v>
      </c>
      <c r="B28" s="239">
        <v>391982</v>
      </c>
      <c r="C28" s="239">
        <v>197300.5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51466.45</v>
      </c>
      <c r="C30" s="239">
        <v>20711.45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443448.45</v>
      </c>
      <c r="C31" s="230">
        <f>SUM(C28:C30)</f>
        <v>218011.95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404471.80999999994</v>
      </c>
      <c r="C36" s="234">
        <f>'DOE25'!G199+'DOE25'!G217+'DOE25'!G235+'DOE25'!G278+'DOE25'!G297+'DOE25'!G316</f>
        <v>63994.09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404471.81</v>
      </c>
      <c r="C39" s="239">
        <v>63994.09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404471.81</v>
      </c>
      <c r="C40" s="230">
        <f>SUM(C37:C39)</f>
        <v>63994.09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CONWAY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17533169.09</v>
      </c>
      <c r="D5" s="20">
        <f>SUM('DOE25'!L196:L199)+SUM('DOE25'!L214:L217)+SUM('DOE25'!L232:L235)-F5-G5</f>
        <v>17360264.689999998</v>
      </c>
      <c r="E5" s="242"/>
      <c r="F5" s="254">
        <f>SUM('DOE25'!J196:J199)+SUM('DOE25'!J214:J217)+SUM('DOE25'!J232:J235)</f>
        <v>162798.44</v>
      </c>
      <c r="G5" s="53">
        <f>SUM('DOE25'!K196:K199)+SUM('DOE25'!K214:K217)+SUM('DOE25'!K232:K235)</f>
        <v>10105.959999999999</v>
      </c>
      <c r="H5" s="258"/>
    </row>
    <row r="6" spans="1:9" x14ac:dyDescent="0.2">
      <c r="A6" s="32">
        <v>2100</v>
      </c>
      <c r="B6" t="s">
        <v>801</v>
      </c>
      <c r="C6" s="244">
        <f t="shared" si="0"/>
        <v>2197908.83</v>
      </c>
      <c r="D6" s="20">
        <f>'DOE25'!L201+'DOE25'!L219+'DOE25'!L237-F6-G6</f>
        <v>2195670.06</v>
      </c>
      <c r="E6" s="242"/>
      <c r="F6" s="254">
        <f>'DOE25'!J201+'DOE25'!J219+'DOE25'!J237</f>
        <v>2238.77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530736.29</v>
      </c>
      <c r="D7" s="20">
        <f>'DOE25'!L202+'DOE25'!L220+'DOE25'!L238-F7-G7</f>
        <v>525144.79</v>
      </c>
      <c r="E7" s="242"/>
      <c r="F7" s="254">
        <f>'DOE25'!J202+'DOE25'!J220+'DOE25'!J238</f>
        <v>5591.5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610469.67999999993</v>
      </c>
      <c r="D8" s="242"/>
      <c r="E8" s="20">
        <f>'DOE25'!L203+'DOE25'!L221+'DOE25'!L239-F8-G8-D9-D11</f>
        <v>604963.41999999993</v>
      </c>
      <c r="F8" s="254">
        <f>'DOE25'!J203+'DOE25'!J221+'DOE25'!J239</f>
        <v>0</v>
      </c>
      <c r="G8" s="53">
        <f>'DOE25'!K203+'DOE25'!K221+'DOE25'!K239</f>
        <v>5506.26</v>
      </c>
      <c r="H8" s="258"/>
    </row>
    <row r="9" spans="1:9" x14ac:dyDescent="0.2">
      <c r="A9" s="32">
        <v>2310</v>
      </c>
      <c r="B9" t="s">
        <v>818</v>
      </c>
      <c r="C9" s="244">
        <f t="shared" si="0"/>
        <v>110328.91</v>
      </c>
      <c r="D9" s="243">
        <v>110328.91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15670</v>
      </c>
      <c r="D10" s="242"/>
      <c r="E10" s="243">
        <v>15670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225723.32</v>
      </c>
      <c r="D11" s="243">
        <v>225723.32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1600902.3599999999</v>
      </c>
      <c r="D12" s="20">
        <f>'DOE25'!L204+'DOE25'!L222+'DOE25'!L240-F12-G12</f>
        <v>1571271.65</v>
      </c>
      <c r="E12" s="242"/>
      <c r="F12" s="254">
        <f>'DOE25'!J204+'DOE25'!J222+'DOE25'!J240</f>
        <v>14896.26</v>
      </c>
      <c r="G12" s="53">
        <f>'DOE25'!K204+'DOE25'!K222+'DOE25'!K240</f>
        <v>14734.45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3746199.54</v>
      </c>
      <c r="D14" s="20">
        <f>'DOE25'!L206+'DOE25'!L224+'DOE25'!L242-F14-G14</f>
        <v>3664262.34</v>
      </c>
      <c r="E14" s="242"/>
      <c r="F14" s="254">
        <f>'DOE25'!J206+'DOE25'!J224+'DOE25'!J242</f>
        <v>81937.200000000012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699253.69</v>
      </c>
      <c r="D15" s="20">
        <f>'DOE25'!L207+'DOE25'!L225+'DOE25'!L243-F15-G15</f>
        <v>537255.68999999994</v>
      </c>
      <c r="E15" s="242"/>
      <c r="F15" s="254">
        <f>'DOE25'!J207+'DOE25'!J225+'DOE25'!J243</f>
        <v>161998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2026</v>
      </c>
      <c r="D16" s="242"/>
      <c r="E16" s="20">
        <f>'DOE25'!L208+'DOE25'!L226+'DOE25'!L244-F16-G16</f>
        <v>2026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2845224.5</v>
      </c>
      <c r="D25" s="242"/>
      <c r="E25" s="242"/>
      <c r="F25" s="257"/>
      <c r="G25" s="255"/>
      <c r="H25" s="256">
        <f>'DOE25'!L259+'DOE25'!L260+'DOE25'!L340+'DOE25'!L341</f>
        <v>2845224.5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507679.08999999997</v>
      </c>
      <c r="D29" s="20">
        <f>'DOE25'!L357+'DOE25'!L358+'DOE25'!L359-'DOE25'!I366-F29-G29</f>
        <v>507240.66</v>
      </c>
      <c r="E29" s="242"/>
      <c r="F29" s="254">
        <f>'DOE25'!J357+'DOE25'!J358+'DOE25'!J359</f>
        <v>438.43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1689602.0400000003</v>
      </c>
      <c r="D31" s="20">
        <f>'DOE25'!L289+'DOE25'!L308+'DOE25'!L327+'DOE25'!L332+'DOE25'!L333+'DOE25'!L334-F31-G31</f>
        <v>1564080.0000000002</v>
      </c>
      <c r="E31" s="242"/>
      <c r="F31" s="254">
        <f>'DOE25'!J289+'DOE25'!J308+'DOE25'!J327+'DOE25'!J332+'DOE25'!J333+'DOE25'!J334</f>
        <v>123037.32</v>
      </c>
      <c r="G31" s="53">
        <f>'DOE25'!K289+'DOE25'!K308+'DOE25'!K327+'DOE25'!K332+'DOE25'!K333+'DOE25'!K334</f>
        <v>2484.7199999999998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28261242.109999996</v>
      </c>
      <c r="E33" s="245">
        <f>SUM(E5:E31)</f>
        <v>622659.41999999993</v>
      </c>
      <c r="F33" s="245">
        <f>SUM(F5:F31)</f>
        <v>552935.92000000004</v>
      </c>
      <c r="G33" s="245">
        <f>SUM(G5:G31)</f>
        <v>32831.39</v>
      </c>
      <c r="H33" s="245">
        <f>SUM(H5:H31)</f>
        <v>2845224.5</v>
      </c>
    </row>
    <row r="35" spans="2:8" ht="12" thickBot="1" x14ac:dyDescent="0.25">
      <c r="B35" s="252" t="s">
        <v>847</v>
      </c>
      <c r="D35" s="253">
        <f>E33</f>
        <v>622659.41999999993</v>
      </c>
      <c r="E35" s="248"/>
    </row>
    <row r="36" spans="2:8" ht="12" thickTop="1" x14ac:dyDescent="0.2">
      <c r="B36" t="s">
        <v>815</v>
      </c>
      <c r="D36" s="20">
        <f>D33</f>
        <v>28261242.109999996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CONWAY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154554.07</v>
      </c>
      <c r="D8" s="95">
        <f>'DOE25'!G9</f>
        <v>394727.25</v>
      </c>
      <c r="E8" s="95">
        <f>'DOE25'!H9</f>
        <v>0</v>
      </c>
      <c r="F8" s="95">
        <f>'DOE25'!I9</f>
        <v>0</v>
      </c>
      <c r="G8" s="95">
        <f>'DOE25'!J9</f>
        <v>1107742.55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847460.33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132388.89000000001</v>
      </c>
      <c r="D12" s="95">
        <f>'DOE25'!G13</f>
        <v>106368.01</v>
      </c>
      <c r="E12" s="95">
        <f>'DOE25'!H13</f>
        <v>304861.74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21904.74</v>
      </c>
      <c r="D13" s="95">
        <f>'DOE25'!G14</f>
        <v>982.55</v>
      </c>
      <c r="E13" s="95">
        <f>'DOE25'!H14</f>
        <v>5540.5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24751.360000000001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1156308.03</v>
      </c>
      <c r="D18" s="41">
        <f>SUM(D8:D17)</f>
        <v>526829.17000000004</v>
      </c>
      <c r="E18" s="41">
        <f>SUM(E8:E17)</f>
        <v>310402.24</v>
      </c>
      <c r="F18" s="41">
        <f>SUM(F8:F17)</f>
        <v>0</v>
      </c>
      <c r="G18" s="41">
        <f>SUM(G8:G17)</f>
        <v>1107742.55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458081.1</v>
      </c>
      <c r="E21" s="95">
        <f>'DOE25'!H22</f>
        <v>227381.23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179942.21</v>
      </c>
      <c r="D23" s="95">
        <f>'DOE25'!G24</f>
        <v>26.37</v>
      </c>
      <c r="E23" s="95">
        <f>'DOE25'!H24</f>
        <v>685.88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29948.22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994.27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210884.69999999998</v>
      </c>
      <c r="D31" s="41">
        <f>SUM(D21:D30)</f>
        <v>458107.47</v>
      </c>
      <c r="E31" s="41">
        <f>SUM(E21:E30)</f>
        <v>228067.11000000002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24751.360000000001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43970.34</v>
      </c>
      <c r="E46" s="95">
        <f>'DOE25'!H47</f>
        <v>82335.13</v>
      </c>
      <c r="F46" s="95">
        <f>'DOE25'!I47</f>
        <v>0</v>
      </c>
      <c r="G46" s="95">
        <f>'DOE25'!J47</f>
        <v>1107742.55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945423.33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945423.33</v>
      </c>
      <c r="D49" s="41">
        <f>SUM(D34:D48)</f>
        <v>68721.7</v>
      </c>
      <c r="E49" s="41">
        <f>SUM(E34:E48)</f>
        <v>82335.13</v>
      </c>
      <c r="F49" s="41">
        <f>SUM(F34:F48)</f>
        <v>0</v>
      </c>
      <c r="G49" s="41">
        <f>SUM(G34:G48)</f>
        <v>1107742.55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1156308.03</v>
      </c>
      <c r="D50" s="41">
        <f>D49+D31</f>
        <v>526829.16999999993</v>
      </c>
      <c r="E50" s="41">
        <f>E49+E31</f>
        <v>310402.24</v>
      </c>
      <c r="F50" s="41">
        <f>F49+F31</f>
        <v>0</v>
      </c>
      <c r="G50" s="41">
        <f>G49+G31</f>
        <v>1107742.55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12512258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10045604.859999999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38917.839999999997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1547.12</v>
      </c>
      <c r="D58" s="95">
        <f>'DOE25'!G95</f>
        <v>139.84</v>
      </c>
      <c r="E58" s="95">
        <f>'DOE25'!H95</f>
        <v>0</v>
      </c>
      <c r="F58" s="95">
        <f>'DOE25'!I95</f>
        <v>2.82</v>
      </c>
      <c r="G58" s="95">
        <f>'DOE25'!J95</f>
        <v>663.38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438232.31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325928.84000000003</v>
      </c>
      <c r="D60" s="95">
        <f>SUM('DOE25'!G97:G109)</f>
        <v>0</v>
      </c>
      <c r="E60" s="95">
        <f>SUM('DOE25'!H97:H109)</f>
        <v>125128.53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10411998.659999998</v>
      </c>
      <c r="D61" s="130">
        <f>SUM(D56:D60)</f>
        <v>438372.15</v>
      </c>
      <c r="E61" s="130">
        <f>SUM(E56:E60)</f>
        <v>125128.53</v>
      </c>
      <c r="F61" s="130">
        <f>SUM(F56:F60)</f>
        <v>2.82</v>
      </c>
      <c r="G61" s="130">
        <f>SUM(G56:G60)</f>
        <v>663.38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22924256.659999996</v>
      </c>
      <c r="D62" s="22">
        <f>D55+D61</f>
        <v>438372.15</v>
      </c>
      <c r="E62" s="22">
        <f>E55+E61</f>
        <v>125128.53</v>
      </c>
      <c r="F62" s="22">
        <f>F55+F61</f>
        <v>2.82</v>
      </c>
      <c r="G62" s="22">
        <f>G55+G61</f>
        <v>663.38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2932022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3427926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6359948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1060664.0900000001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332811.77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10755.37</v>
      </c>
      <c r="E76" s="95">
        <f>SUM('DOE25'!H130:H134)</f>
        <v>99166.1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1393475.86</v>
      </c>
      <c r="D77" s="130">
        <f>SUM(D71:D76)</f>
        <v>10755.37</v>
      </c>
      <c r="E77" s="130">
        <f>SUM(E71:E76)</f>
        <v>99166.1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7753423.8600000003</v>
      </c>
      <c r="D80" s="130">
        <f>SUM(D78:D79)+D77+D69</f>
        <v>10755.37</v>
      </c>
      <c r="E80" s="130">
        <f>SUM(E78:E79)+E77+E69</f>
        <v>99166.1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203276.17</v>
      </c>
      <c r="D87" s="95">
        <f>SUM('DOE25'!G152:G160)</f>
        <v>445413.72</v>
      </c>
      <c r="E87" s="95">
        <f>SUM('DOE25'!H152:H160)</f>
        <v>1464247.9500000002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1107.6199999999999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204383.79</v>
      </c>
      <c r="D90" s="131">
        <f>SUM(D84:D89)</f>
        <v>445413.72</v>
      </c>
      <c r="E90" s="131">
        <f>SUM(E84:E89)</f>
        <v>1464247.9500000002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467429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161998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161998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467429</v>
      </c>
    </row>
    <row r="103" spans="1:7" ht="12.75" thickTop="1" thickBot="1" x14ac:dyDescent="0.25">
      <c r="A103" s="33" t="s">
        <v>765</v>
      </c>
      <c r="C103" s="86">
        <f>C62+C80+C90+C102</f>
        <v>31044062.309999995</v>
      </c>
      <c r="D103" s="86">
        <f>D62+D80+D90+D102</f>
        <v>894541.24</v>
      </c>
      <c r="E103" s="86">
        <f>E62+E80+E90+E102</f>
        <v>1688542.58</v>
      </c>
      <c r="F103" s="86">
        <f>F62+F80+F90+F102</f>
        <v>2.82</v>
      </c>
      <c r="G103" s="86">
        <f>G62+G80+G102</f>
        <v>468092.38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11317984.609999999</v>
      </c>
      <c r="D108" s="24" t="s">
        <v>289</v>
      </c>
      <c r="E108" s="95">
        <f>('DOE25'!L275)+('DOE25'!L294)+('DOE25'!L313)</f>
        <v>668802.93000000005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5043736.04</v>
      </c>
      <c r="D109" s="24" t="s">
        <v>289</v>
      </c>
      <c r="E109" s="95">
        <f>('DOE25'!L276)+('DOE25'!L295)+('DOE25'!L314)</f>
        <v>190887.57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730460.35999999987</v>
      </c>
      <c r="D110" s="24" t="s">
        <v>289</v>
      </c>
      <c r="E110" s="95">
        <f>('DOE25'!L277)+('DOE25'!L296)+('DOE25'!L315)</f>
        <v>73944.42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440988.07999999996</v>
      </c>
      <c r="D111" s="24" t="s">
        <v>289</v>
      </c>
      <c r="E111" s="95">
        <f>+('DOE25'!L278)+('DOE25'!L297)+('DOE25'!L316)</f>
        <v>201184.47999999998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33518.74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17533169.089999996</v>
      </c>
      <c r="D114" s="86">
        <f>SUM(D108:D113)</f>
        <v>0</v>
      </c>
      <c r="E114" s="86">
        <f>SUM(E108:E113)</f>
        <v>1168338.1399999999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2197908.83</v>
      </c>
      <c r="D117" s="24" t="s">
        <v>289</v>
      </c>
      <c r="E117" s="95">
        <f>+('DOE25'!L280)+('DOE25'!L299)+('DOE25'!L318)</f>
        <v>307789.49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530736.29</v>
      </c>
      <c r="D118" s="24" t="s">
        <v>289</v>
      </c>
      <c r="E118" s="95">
        <f>+('DOE25'!L281)+('DOE25'!L300)+('DOE25'!L319)</f>
        <v>167300.83000000002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946521.90999999992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1600902.3599999999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3746199.54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699253.69</v>
      </c>
      <c r="D123" s="24" t="s">
        <v>289</v>
      </c>
      <c r="E123" s="95">
        <f>+('DOE25'!L286)+('DOE25'!L305)+('DOE25'!L324)</f>
        <v>46173.58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2026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869543.76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9723548.6199999992</v>
      </c>
      <c r="D127" s="86">
        <f>SUM(D117:D126)</f>
        <v>869543.76</v>
      </c>
      <c r="E127" s="86">
        <f>SUM(E117:E126)</f>
        <v>521263.9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13647.58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1850000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995224.5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161998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186049.61000000002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282017.26999999996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25.5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-663.38000000000466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3312653.5</v>
      </c>
      <c r="D143" s="141">
        <f>SUM(D129:D142)</f>
        <v>0</v>
      </c>
      <c r="E143" s="141">
        <f>SUM(E129:E142)</f>
        <v>0</v>
      </c>
      <c r="F143" s="141">
        <f>SUM(F129:F142)</f>
        <v>13647.58</v>
      </c>
      <c r="G143" s="141">
        <f>SUM(G129:G142)</f>
        <v>161998</v>
      </c>
    </row>
    <row r="144" spans="1:7" ht="12.75" thickTop="1" thickBot="1" x14ac:dyDescent="0.25">
      <c r="A144" s="33" t="s">
        <v>244</v>
      </c>
      <c r="C144" s="86">
        <f>(C114+C127+C143)</f>
        <v>30569371.209999993</v>
      </c>
      <c r="D144" s="86">
        <f>(D114+D127+D143)</f>
        <v>869543.76</v>
      </c>
      <c r="E144" s="86">
        <f>(E114+E127+E143)</f>
        <v>1689602.04</v>
      </c>
      <c r="F144" s="86">
        <f>(F114+F127+F143)</f>
        <v>13647.58</v>
      </c>
      <c r="G144" s="86">
        <f>(G114+G127+G143)</f>
        <v>161998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20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 t="str">
        <f>'DOE25'!F490</f>
        <v>12/03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 t="str">
        <f>'DOE25'!F491</f>
        <v>1/2024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42120000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22160000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22160000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1850000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1850000</v>
      </c>
    </row>
    <row r="158" spans="1:9" x14ac:dyDescent="0.2">
      <c r="A158" s="22" t="s">
        <v>35</v>
      </c>
      <c r="B158" s="137">
        <f>'DOE25'!F497</f>
        <v>20310000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20310000</v>
      </c>
    </row>
    <row r="159" spans="1:9" x14ac:dyDescent="0.2">
      <c r="A159" s="22" t="s">
        <v>36</v>
      </c>
      <c r="B159" s="137">
        <f>'DOE25'!F498</f>
        <v>5149775.26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5149775.26</v>
      </c>
    </row>
    <row r="160" spans="1:9" x14ac:dyDescent="0.2">
      <c r="A160" s="22" t="s">
        <v>37</v>
      </c>
      <c r="B160" s="137">
        <f>'DOE25'!F499</f>
        <v>25459775.259999998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25459775.259999998</v>
      </c>
    </row>
    <row r="161" spans="1:7" x14ac:dyDescent="0.2">
      <c r="A161" s="22" t="s">
        <v>38</v>
      </c>
      <c r="B161" s="137">
        <f>'DOE25'!F500</f>
        <v>1850000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1850000</v>
      </c>
    </row>
    <row r="162" spans="1:7" x14ac:dyDescent="0.2">
      <c r="A162" s="22" t="s">
        <v>39</v>
      </c>
      <c r="B162" s="137">
        <f>'DOE25'!F501</f>
        <v>902725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902725</v>
      </c>
    </row>
    <row r="163" spans="1:7" x14ac:dyDescent="0.2">
      <c r="A163" s="22" t="s">
        <v>246</v>
      </c>
      <c r="B163" s="137">
        <f>'DOE25'!F502</f>
        <v>2752725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2752725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CONWAY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15107</v>
      </c>
    </row>
    <row r="5" spans="1:4" x14ac:dyDescent="0.2">
      <c r="B5" t="s">
        <v>704</v>
      </c>
      <c r="C5" s="178">
        <f>IF('DOE25'!G664+'DOE25'!G669=0,0,ROUND('DOE25'!G671,0))</f>
        <v>15717</v>
      </c>
    </row>
    <row r="6" spans="1:4" x14ac:dyDescent="0.2">
      <c r="B6" t="s">
        <v>62</v>
      </c>
      <c r="C6" s="178">
        <f>IF('DOE25'!H664+'DOE25'!H669=0,0,ROUND('DOE25'!H671,0))</f>
        <v>12514</v>
      </c>
    </row>
    <row r="7" spans="1:4" x14ac:dyDescent="0.2">
      <c r="B7" t="s">
        <v>705</v>
      </c>
      <c r="C7" s="178">
        <f>IF('DOE25'!I664+'DOE25'!I669=0,0,ROUND('DOE25'!I671,0))</f>
        <v>14000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11986788</v>
      </c>
      <c r="D10" s="181">
        <f>ROUND((C10/$C$28)*100,1)</f>
        <v>39.5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5234624</v>
      </c>
      <c r="D11" s="181">
        <f>ROUND((C11/$C$28)*100,1)</f>
        <v>17.2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804405</v>
      </c>
      <c r="D12" s="181">
        <f>ROUND((C12/$C$28)*100,1)</f>
        <v>2.6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642173</v>
      </c>
      <c r="D13" s="181">
        <f>ROUND((C13/$C$28)*100,1)</f>
        <v>2.1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2505698</v>
      </c>
      <c r="D15" s="181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698037</v>
      </c>
      <c r="D16" s="181">
        <f t="shared" si="0"/>
        <v>2.2999999999999998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948548</v>
      </c>
      <c r="D17" s="181">
        <f t="shared" si="0"/>
        <v>3.1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1600902</v>
      </c>
      <c r="D18" s="181">
        <f t="shared" si="0"/>
        <v>5.3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3746200</v>
      </c>
      <c r="D20" s="181">
        <f t="shared" si="0"/>
        <v>12.3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745427</v>
      </c>
      <c r="D21" s="181">
        <f t="shared" si="0"/>
        <v>2.5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33519</v>
      </c>
      <c r="D24" s="181">
        <f t="shared" si="0"/>
        <v>0.1</v>
      </c>
    </row>
    <row r="25" spans="1:4" x14ac:dyDescent="0.2">
      <c r="A25">
        <v>5120</v>
      </c>
      <c r="B25" t="s">
        <v>720</v>
      </c>
      <c r="C25" s="178">
        <f>ROUND('DOE25'!L260+'DOE25'!L341,0)</f>
        <v>995225</v>
      </c>
      <c r="D25" s="181">
        <f t="shared" si="0"/>
        <v>3.3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431311.69</v>
      </c>
      <c r="D27" s="181">
        <f t="shared" si="0"/>
        <v>1.4</v>
      </c>
    </row>
    <row r="28" spans="1:4" x14ac:dyDescent="0.2">
      <c r="B28" s="186" t="s">
        <v>723</v>
      </c>
      <c r="C28" s="179">
        <f>SUM(C10:C27)</f>
        <v>30372857.690000001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13648</v>
      </c>
    </row>
    <row r="30" spans="1:4" x14ac:dyDescent="0.2">
      <c r="B30" s="186" t="s">
        <v>729</v>
      </c>
      <c r="C30" s="179">
        <f>SUM(C28:C29)</f>
        <v>30386505.690000001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1850000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12512258</v>
      </c>
      <c r="D35" s="181">
        <f t="shared" ref="D35:D40" si="1">ROUND((C35/$C$41)*100,1)</f>
        <v>37.9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10537933.23</v>
      </c>
      <c r="D36" s="181">
        <f t="shared" si="1"/>
        <v>31.9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6359948</v>
      </c>
      <c r="D37" s="181">
        <f t="shared" si="1"/>
        <v>19.3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1503397</v>
      </c>
      <c r="D38" s="181">
        <f t="shared" si="1"/>
        <v>4.5999999999999996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2114045</v>
      </c>
      <c r="D39" s="181">
        <f t="shared" si="1"/>
        <v>6.4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33027581.23</v>
      </c>
      <c r="D41" s="183">
        <f>SUM(D35:D40)</f>
        <v>100.1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2"/>
      <c r="K1" s="212"/>
      <c r="L1" s="212"/>
      <c r="M1" s="213"/>
    </row>
    <row r="2" spans="1:26" ht="12.75" x14ac:dyDescent="0.2">
      <c r="A2" s="284" t="s">
        <v>767</v>
      </c>
      <c r="B2" s="285"/>
      <c r="C2" s="285"/>
      <c r="D2" s="285"/>
      <c r="E2" s="285"/>
      <c r="F2" s="290" t="str">
        <f>'DOE25'!A2</f>
        <v>CONWAY SCHOOL DISTRICT</v>
      </c>
      <c r="G2" s="291"/>
      <c r="H2" s="291"/>
      <c r="I2" s="291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7"/>
      <c r="B4" s="218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0"/>
      <c r="O29" s="21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06"/>
      <c r="AB29" s="206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6"/>
      <c r="AO29" s="206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6"/>
      <c r="BB29" s="206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6"/>
      <c r="BO29" s="206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6"/>
      <c r="CB29" s="206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6"/>
      <c r="CO29" s="206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6"/>
      <c r="DB29" s="206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6"/>
      <c r="DO29" s="206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6"/>
      <c r="EB29" s="206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6"/>
      <c r="EO29" s="206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6"/>
      <c r="FB29" s="206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6"/>
      <c r="FO29" s="206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6"/>
      <c r="GB29" s="206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6"/>
      <c r="GO29" s="206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6"/>
      <c r="HB29" s="206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6"/>
      <c r="HO29" s="206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6"/>
      <c r="IB29" s="206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6"/>
      <c r="IO29" s="206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7"/>
      <c r="B30" s="218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0"/>
      <c r="O30" s="21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06"/>
      <c r="AB30" s="206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6"/>
      <c r="AO30" s="206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6"/>
      <c r="BB30" s="206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6"/>
      <c r="BO30" s="206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6"/>
      <c r="CB30" s="206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6"/>
      <c r="CO30" s="206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6"/>
      <c r="DB30" s="206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6"/>
      <c r="DO30" s="206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6"/>
      <c r="EB30" s="206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6"/>
      <c r="EO30" s="206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6"/>
      <c r="FB30" s="206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6"/>
      <c r="FO30" s="206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6"/>
      <c r="GB30" s="206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6"/>
      <c r="GO30" s="206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6"/>
      <c r="HB30" s="206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6"/>
      <c r="HO30" s="206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6"/>
      <c r="IB30" s="206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6"/>
      <c r="IO30" s="206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7"/>
      <c r="B31" s="218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0"/>
      <c r="O31" s="21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06"/>
      <c r="AB31" s="206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6"/>
      <c r="AO31" s="206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6"/>
      <c r="BB31" s="206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6"/>
      <c r="BO31" s="206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6"/>
      <c r="CB31" s="206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6"/>
      <c r="CO31" s="206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6"/>
      <c r="DB31" s="206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6"/>
      <c r="DO31" s="206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6"/>
      <c r="EB31" s="206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6"/>
      <c r="EO31" s="206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6"/>
      <c r="FB31" s="206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6"/>
      <c r="FO31" s="206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6"/>
      <c r="GB31" s="206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6"/>
      <c r="GO31" s="206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6"/>
      <c r="HB31" s="206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6"/>
      <c r="HO31" s="206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6"/>
      <c r="IB31" s="206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6"/>
      <c r="IO31" s="206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7"/>
      <c r="B32" s="218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7"/>
      <c r="AO32" s="218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7"/>
      <c r="BB32" s="218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7"/>
      <c r="BO32" s="218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7"/>
      <c r="CB32" s="218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7"/>
      <c r="CO32" s="218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7"/>
      <c r="DB32" s="218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7"/>
      <c r="DO32" s="218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7"/>
      <c r="EB32" s="218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7"/>
      <c r="EO32" s="218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7"/>
      <c r="FB32" s="218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7"/>
      <c r="FO32" s="218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7"/>
      <c r="GB32" s="218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7"/>
      <c r="GO32" s="218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7"/>
      <c r="HB32" s="218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7"/>
      <c r="HO32" s="218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7"/>
      <c r="IB32" s="218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7"/>
      <c r="IO32" s="218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7"/>
      <c r="B33" s="218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0"/>
      <c r="O38" s="21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06"/>
      <c r="AB38" s="206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6"/>
      <c r="AO38" s="206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6"/>
      <c r="BB38" s="206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6"/>
      <c r="BO38" s="206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6"/>
      <c r="CB38" s="206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6"/>
      <c r="CO38" s="206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6"/>
      <c r="DB38" s="206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6"/>
      <c r="DO38" s="206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6"/>
      <c r="EB38" s="206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6"/>
      <c r="EO38" s="206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6"/>
      <c r="FB38" s="206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6"/>
      <c r="FO38" s="206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6"/>
      <c r="GB38" s="206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6"/>
      <c r="GO38" s="206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6"/>
      <c r="HB38" s="206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6"/>
      <c r="HO38" s="206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6"/>
      <c r="IB38" s="206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6"/>
      <c r="IO38" s="206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7"/>
      <c r="B39" s="218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0"/>
      <c r="O39" s="21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06"/>
      <c r="AB39" s="206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6"/>
      <c r="AO39" s="206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6"/>
      <c r="BB39" s="206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6"/>
      <c r="BO39" s="206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6"/>
      <c r="CB39" s="206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6"/>
      <c r="CO39" s="206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6"/>
      <c r="DB39" s="206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6"/>
      <c r="DO39" s="206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6"/>
      <c r="EB39" s="206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6"/>
      <c r="EO39" s="206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6"/>
      <c r="FB39" s="206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6"/>
      <c r="FO39" s="206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6"/>
      <c r="GB39" s="206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6"/>
      <c r="GO39" s="206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6"/>
      <c r="HB39" s="206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6"/>
      <c r="HO39" s="206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6"/>
      <c r="IB39" s="206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6"/>
      <c r="IO39" s="206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7"/>
      <c r="B40" s="218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0"/>
      <c r="O40" s="21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06"/>
      <c r="AB40" s="206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6"/>
      <c r="AO40" s="206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6"/>
      <c r="BB40" s="206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6"/>
      <c r="BO40" s="206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6"/>
      <c r="CB40" s="206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6"/>
      <c r="CO40" s="206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6"/>
      <c r="DB40" s="206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6"/>
      <c r="DO40" s="206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6"/>
      <c r="EB40" s="206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6"/>
      <c r="EO40" s="206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6"/>
      <c r="FB40" s="206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6"/>
      <c r="FO40" s="206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6"/>
      <c r="GB40" s="206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6"/>
      <c r="GO40" s="206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6"/>
      <c r="HB40" s="206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6"/>
      <c r="HO40" s="206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6"/>
      <c r="IB40" s="206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6"/>
      <c r="IO40" s="206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7"/>
      <c r="B41" s="218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7"/>
      <c r="B60" s="218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7"/>
      <c r="B61" s="218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7"/>
      <c r="B62" s="218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7"/>
      <c r="B63" s="218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7"/>
      <c r="B64" s="218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7"/>
      <c r="B65" s="218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7"/>
      <c r="B66" s="218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7"/>
      <c r="B67" s="218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7"/>
      <c r="B68" s="218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7"/>
      <c r="B69" s="218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0"/>
      <c r="B74" s="210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0"/>
      <c r="B75" s="210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0"/>
      <c r="B76" s="210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0"/>
      <c r="B77" s="210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0"/>
      <c r="B78" s="210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0"/>
      <c r="B79" s="210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0"/>
      <c r="B80" s="210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0"/>
      <c r="B81" s="210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0"/>
      <c r="B82" s="210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0"/>
      <c r="B83" s="210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0"/>
      <c r="B84" s="210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0"/>
      <c r="B85" s="210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0"/>
      <c r="B86" s="210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0"/>
      <c r="B87" s="210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0"/>
      <c r="B88" s="210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0"/>
      <c r="B89" s="210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0"/>
      <c r="B90" s="210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B0A" sheet="1" objects="1" scenarios="1"/>
  <mergeCells count="223"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30:M30"/>
    <mergeCell ref="C31:M31"/>
    <mergeCell ref="C42:M42"/>
    <mergeCell ref="C41:M41"/>
    <mergeCell ref="C33:M33"/>
    <mergeCell ref="C37:M37"/>
    <mergeCell ref="C46:M46"/>
    <mergeCell ref="C44:M44"/>
    <mergeCell ref="C43:M43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P31:Z31"/>
    <mergeCell ref="AC31:AM31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2:M32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P30:EZ30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GC32:GM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2013-09-11T18:49:58Z</cp:lastPrinted>
  <dcterms:created xsi:type="dcterms:W3CDTF">1997-12-04T19:04:30Z</dcterms:created>
  <dcterms:modified xsi:type="dcterms:W3CDTF">2013-11-14T15:12:28Z</dcterms:modified>
</cp:coreProperties>
</file>