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210" windowWidth="12735" windowHeight="63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40" i="1" l="1"/>
  <c r="F47" i="1" l="1"/>
  <c r="F49" i="1"/>
  <c r="C10" i="12" l="1"/>
  <c r="H468" i="1"/>
  <c r="F12" i="1"/>
  <c r="H13" i="1"/>
  <c r="H14" i="1"/>
  <c r="J471" i="1" l="1"/>
  <c r="H458" i="1"/>
  <c r="H439" i="1"/>
  <c r="G22" i="1"/>
  <c r="G157" i="1"/>
  <c r="G40" i="1"/>
  <c r="F56" i="1" l="1"/>
  <c r="G204" i="1"/>
  <c r="F204" i="1"/>
  <c r="F196" i="1"/>
  <c r="H197" i="1" l="1"/>
  <c r="H196" i="1"/>
  <c r="I281" i="1"/>
  <c r="H154" i="1" l="1"/>
  <c r="I275" i="1"/>
  <c r="F357" i="1"/>
  <c r="I357" i="1"/>
  <c r="B39" i="12" l="1"/>
  <c r="C19" i="12"/>
  <c r="C21" i="12"/>
  <c r="B21" i="12"/>
  <c r="B10" i="12"/>
  <c r="H525" i="1" l="1"/>
  <c r="H520" i="1"/>
  <c r="I520" i="1"/>
  <c r="F520" i="1"/>
  <c r="G520" i="1"/>
  <c r="H153" i="1" l="1"/>
  <c r="I278" i="1"/>
  <c r="G278" i="1"/>
  <c r="H357" i="1"/>
  <c r="F367" i="1"/>
  <c r="K284" i="1"/>
  <c r="H281" i="1"/>
  <c r="G281" i="1"/>
  <c r="F281" i="1"/>
  <c r="I276" i="1"/>
  <c r="H276" i="1"/>
  <c r="G276" i="1"/>
  <c r="F276" i="1"/>
  <c r="F275" i="1"/>
  <c r="G275" i="1"/>
  <c r="H232" i="1"/>
  <c r="H207" i="1"/>
  <c r="H591" i="1" l="1"/>
  <c r="F197" i="1"/>
  <c r="I206" i="1" l="1"/>
  <c r="H206" i="1"/>
  <c r="G206" i="1"/>
  <c r="K204" i="1"/>
  <c r="H204" i="1"/>
  <c r="H203" i="1"/>
  <c r="I202" i="1"/>
  <c r="G202" i="1"/>
  <c r="I201" i="1"/>
  <c r="G201" i="1"/>
  <c r="F201" i="1"/>
  <c r="G199" i="1"/>
  <c r="G197" i="1"/>
  <c r="J197" i="1"/>
  <c r="I197" i="1"/>
  <c r="J196" i="1"/>
  <c r="I196" i="1"/>
  <c r="G196" i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E8" i="13" s="1"/>
  <c r="C8" i="13" s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C109" i="2" s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C117" i="2" s="1"/>
  <c r="L219" i="1"/>
  <c r="L237" i="1"/>
  <c r="F7" i="13"/>
  <c r="G7" i="13"/>
  <c r="L202" i="1"/>
  <c r="L220" i="1"/>
  <c r="L238" i="1"/>
  <c r="F12" i="13"/>
  <c r="G12" i="13"/>
  <c r="L204" i="1"/>
  <c r="D12" i="13" s="1"/>
  <c r="C12" i="13" s="1"/>
  <c r="L222" i="1"/>
  <c r="L240" i="1"/>
  <c r="F14" i="13"/>
  <c r="G14" i="13"/>
  <c r="L206" i="1"/>
  <c r="C122" i="2" s="1"/>
  <c r="L224" i="1"/>
  <c r="L242" i="1"/>
  <c r="F15" i="13"/>
  <c r="G15" i="13"/>
  <c r="L207" i="1"/>
  <c r="H646" i="1" s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H660" i="1" s="1"/>
  <c r="L358" i="1"/>
  <c r="L359" i="1"/>
  <c r="I366" i="1"/>
  <c r="J289" i="1"/>
  <c r="J308" i="1"/>
  <c r="J327" i="1"/>
  <c r="K289" i="1"/>
  <c r="K308" i="1"/>
  <c r="K327" i="1"/>
  <c r="L275" i="1"/>
  <c r="L276" i="1"/>
  <c r="E109" i="2" s="1"/>
  <c r="L277" i="1"/>
  <c r="L278" i="1"/>
  <c r="C13" i="10" s="1"/>
  <c r="L280" i="1"/>
  <c r="L281" i="1"/>
  <c r="E118" i="2" s="1"/>
  <c r="L282" i="1"/>
  <c r="L283" i="1"/>
  <c r="L284" i="1"/>
  <c r="E121" i="2" s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C131" i="2" s="1"/>
  <c r="L340" i="1"/>
  <c r="L341" i="1"/>
  <c r="E131" i="2" s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F168" i="1" s="1"/>
  <c r="G146" i="1"/>
  <c r="G161" i="1"/>
  <c r="H146" i="1"/>
  <c r="H161" i="1"/>
  <c r="H168" i="1" s="1"/>
  <c r="I146" i="1"/>
  <c r="I161" i="1"/>
  <c r="C11" i="10"/>
  <c r="C12" i="10"/>
  <c r="C20" i="10"/>
  <c r="C21" i="10"/>
  <c r="L249" i="1"/>
  <c r="L331" i="1"/>
  <c r="C23" i="10" s="1"/>
  <c r="L253" i="1"/>
  <c r="L267" i="1"/>
  <c r="L268" i="1"/>
  <c r="L348" i="1"/>
  <c r="L349" i="1"/>
  <c r="I664" i="1"/>
  <c r="I669" i="1"/>
  <c r="L228" i="1"/>
  <c r="L246" i="1"/>
  <c r="G660" i="1"/>
  <c r="F661" i="1"/>
  <c r="I661" i="1" s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K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0" i="2"/>
  <c r="K269" i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D18" i="2" s="1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E31" i="2" s="1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D55" i="2"/>
  <c r="E55" i="2"/>
  <c r="F55" i="2"/>
  <c r="C56" i="2"/>
  <c r="E56" i="2"/>
  <c r="C57" i="2"/>
  <c r="E57" i="2"/>
  <c r="C58" i="2"/>
  <c r="C61" i="2" s="1"/>
  <c r="D58" i="2"/>
  <c r="E58" i="2"/>
  <c r="F58" i="2"/>
  <c r="D59" i="2"/>
  <c r="D61" i="2" s="1"/>
  <c r="D62" i="2" s="1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C77" i="2" s="1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C90" i="2" s="1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C102" i="2" s="1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8" i="2"/>
  <c r="C110" i="2"/>
  <c r="E110" i="2"/>
  <c r="C111" i="2"/>
  <c r="C112" i="2"/>
  <c r="E112" i="2"/>
  <c r="C113" i="2"/>
  <c r="E113" i="2"/>
  <c r="D114" i="2"/>
  <c r="F114" i="2"/>
  <c r="G114" i="2"/>
  <c r="E117" i="2"/>
  <c r="C118" i="2"/>
  <c r="C119" i="2"/>
  <c r="E119" i="2"/>
  <c r="C120" i="2"/>
  <c r="E120" i="2"/>
  <c r="C121" i="2"/>
  <c r="E122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G618" i="1" s="1"/>
  <c r="I19" i="1"/>
  <c r="F32" i="1"/>
  <c r="G32" i="1"/>
  <c r="H32" i="1"/>
  <c r="I32" i="1"/>
  <c r="G50" i="1"/>
  <c r="H50" i="1"/>
  <c r="I50" i="1"/>
  <c r="I51" i="1" s="1"/>
  <c r="H619" i="1" s="1"/>
  <c r="F176" i="1"/>
  <c r="I176" i="1"/>
  <c r="F182" i="1"/>
  <c r="G182" i="1"/>
  <c r="H182" i="1"/>
  <c r="H191" i="1" s="1"/>
  <c r="I182" i="1"/>
  <c r="J182" i="1"/>
  <c r="J191" i="1" s="1"/>
  <c r="F187" i="1"/>
  <c r="G187" i="1"/>
  <c r="H187" i="1"/>
  <c r="I187" i="1"/>
  <c r="F210" i="1"/>
  <c r="F256" i="1" s="1"/>
  <c r="F270" i="1" s="1"/>
  <c r="G210" i="1"/>
  <c r="G256" i="1" s="1"/>
  <c r="G270" i="1" s="1"/>
  <c r="H210" i="1"/>
  <c r="I210" i="1"/>
  <c r="I256" i="1" s="1"/>
  <c r="I270" i="1" s="1"/>
  <c r="J210" i="1"/>
  <c r="J256" i="1" s="1"/>
  <c r="J270" i="1" s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F337" i="1" s="1"/>
  <c r="F351" i="1" s="1"/>
  <c r="G289" i="1"/>
  <c r="G337" i="1" s="1"/>
  <c r="G351" i="1" s="1"/>
  <c r="H289" i="1"/>
  <c r="H337" i="1" s="1"/>
  <c r="H351" i="1" s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G640" i="1" s="1"/>
  <c r="F451" i="1"/>
  <c r="G451" i="1"/>
  <c r="H451" i="1"/>
  <c r="I451" i="1"/>
  <c r="F459" i="1"/>
  <c r="G459" i="1"/>
  <c r="H459" i="1"/>
  <c r="I459" i="1"/>
  <c r="F460" i="1"/>
  <c r="G460" i="1"/>
  <c r="H460" i="1"/>
  <c r="H640" i="1" s="1"/>
  <c r="I460" i="1"/>
  <c r="I469" i="1"/>
  <c r="J469" i="1"/>
  <c r="I473" i="1"/>
  <c r="I475" i="1" s="1"/>
  <c r="H624" i="1" s="1"/>
  <c r="J624" i="1" s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G544" i="1" s="1"/>
  <c r="H523" i="1"/>
  <c r="H544" i="1" s="1"/>
  <c r="I523" i="1"/>
  <c r="I544" i="1" s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7" i="1" s="1"/>
  <c r="G646" i="1" s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9" i="1"/>
  <c r="G624" i="1"/>
  <c r="H629" i="1"/>
  <c r="H630" i="1"/>
  <c r="H635" i="1"/>
  <c r="J635" i="1" s="1"/>
  <c r="H636" i="1"/>
  <c r="H637" i="1"/>
  <c r="G638" i="1"/>
  <c r="H638" i="1"/>
  <c r="G639" i="1"/>
  <c r="H639" i="1"/>
  <c r="H641" i="1"/>
  <c r="G642" i="1"/>
  <c r="H642" i="1"/>
  <c r="G643" i="1"/>
  <c r="H643" i="1"/>
  <c r="G644" i="1"/>
  <c r="H644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K256" i="1"/>
  <c r="K270" i="1" s="1"/>
  <c r="G163" i="2"/>
  <c r="G159" i="2"/>
  <c r="F31" i="2"/>
  <c r="C26" i="10"/>
  <c r="L327" i="1"/>
  <c r="H659" i="1" s="1"/>
  <c r="A31" i="12"/>
  <c r="C69" i="2"/>
  <c r="G161" i="2"/>
  <c r="E49" i="2"/>
  <c r="D18" i="13"/>
  <c r="C18" i="13" s="1"/>
  <c r="D15" i="13"/>
  <c r="C15" i="13" s="1"/>
  <c r="F102" i="2"/>
  <c r="D17" i="13"/>
  <c r="C17" i="13" s="1"/>
  <c r="G158" i="2"/>
  <c r="G80" i="2"/>
  <c r="F77" i="2"/>
  <c r="F80" i="2" s="1"/>
  <c r="F61" i="2"/>
  <c r="F62" i="2" s="1"/>
  <c r="D31" i="2"/>
  <c r="D49" i="2"/>
  <c r="F49" i="2"/>
  <c r="F50" i="2" s="1"/>
  <c r="F18" i="2"/>
  <c r="G162" i="2"/>
  <c r="G157" i="2"/>
  <c r="G155" i="2"/>
  <c r="G102" i="2"/>
  <c r="E102" i="2"/>
  <c r="F90" i="2"/>
  <c r="E61" i="2"/>
  <c r="E62" i="2" s="1"/>
  <c r="G61" i="2"/>
  <c r="D19" i="13"/>
  <c r="C19" i="13" s="1"/>
  <c r="D14" i="13"/>
  <c r="C14" i="13" s="1"/>
  <c r="E13" i="13"/>
  <c r="C13" i="13" s="1"/>
  <c r="E77" i="2"/>
  <c r="E80" i="2" s="1"/>
  <c r="L426" i="1"/>
  <c r="H111" i="1"/>
  <c r="J638" i="1"/>
  <c r="K604" i="1"/>
  <c r="G647" i="1" s="1"/>
  <c r="J570" i="1"/>
  <c r="K570" i="1"/>
  <c r="L432" i="1"/>
  <c r="L418" i="1"/>
  <c r="D80" i="2"/>
  <c r="I168" i="1"/>
  <c r="G551" i="1"/>
  <c r="J643" i="1"/>
  <c r="J642" i="1"/>
  <c r="J475" i="1"/>
  <c r="H625" i="1" s="1"/>
  <c r="J139" i="1"/>
  <c r="F570" i="1"/>
  <c r="I551" i="1"/>
  <c r="K549" i="1"/>
  <c r="G22" i="2"/>
  <c r="K544" i="1"/>
  <c r="J551" i="1"/>
  <c r="H551" i="1"/>
  <c r="C29" i="10"/>
  <c r="H139" i="1"/>
  <c r="L400" i="1"/>
  <c r="C138" i="2" s="1"/>
  <c r="L392" i="1"/>
  <c r="F22" i="13"/>
  <c r="J650" i="1"/>
  <c r="J639" i="1"/>
  <c r="H570" i="1"/>
  <c r="L559" i="1"/>
  <c r="J544" i="1"/>
  <c r="G191" i="1"/>
  <c r="L308" i="1"/>
  <c r="E16" i="13"/>
  <c r="J654" i="1"/>
  <c r="J644" i="1"/>
  <c r="L569" i="1"/>
  <c r="I570" i="1"/>
  <c r="G36" i="2"/>
  <c r="L564" i="1"/>
  <c r="C22" i="13"/>
  <c r="C137" i="2"/>
  <c r="C16" i="13"/>
  <c r="E18" i="2" l="1"/>
  <c r="J640" i="1"/>
  <c r="I445" i="1"/>
  <c r="G641" i="1" s="1"/>
  <c r="C18" i="2"/>
  <c r="G616" i="1"/>
  <c r="H51" i="1"/>
  <c r="H618" i="1" s="1"/>
  <c r="J618" i="1" s="1"/>
  <c r="E50" i="2"/>
  <c r="G623" i="1"/>
  <c r="G51" i="1"/>
  <c r="H617" i="1" s="1"/>
  <c r="J617" i="1" s="1"/>
  <c r="G622" i="1"/>
  <c r="F111" i="1"/>
  <c r="A40" i="12"/>
  <c r="A13" i="12"/>
  <c r="F551" i="1"/>
  <c r="K548" i="1"/>
  <c r="K551" i="1" s="1"/>
  <c r="L523" i="1"/>
  <c r="L544" i="1" s="1"/>
  <c r="K499" i="1"/>
  <c r="C80" i="2"/>
  <c r="E111" i="2"/>
  <c r="J633" i="1"/>
  <c r="D29" i="13"/>
  <c r="C29" i="13" s="1"/>
  <c r="L361" i="1"/>
  <c r="H663" i="1"/>
  <c r="H666" i="1" s="1"/>
  <c r="F660" i="1"/>
  <c r="I660" i="1" s="1"/>
  <c r="D144" i="2"/>
  <c r="E127" i="2"/>
  <c r="C19" i="10"/>
  <c r="L289" i="1"/>
  <c r="L337" i="1" s="1"/>
  <c r="L351" i="1" s="1"/>
  <c r="C16" i="10"/>
  <c r="E114" i="2"/>
  <c r="L350" i="1"/>
  <c r="E143" i="2"/>
  <c r="C25" i="10"/>
  <c r="H25" i="13"/>
  <c r="C25" i="13" s="1"/>
  <c r="C108" i="2"/>
  <c r="H256" i="1"/>
  <c r="H270" i="1" s="1"/>
  <c r="D5" i="13"/>
  <c r="C5" i="13" s="1"/>
  <c r="K351" i="1"/>
  <c r="J646" i="1"/>
  <c r="C123" i="2"/>
  <c r="C127" i="2" s="1"/>
  <c r="C18" i="10"/>
  <c r="C17" i="10"/>
  <c r="D7" i="13"/>
  <c r="C7" i="13" s="1"/>
  <c r="E33" i="13"/>
  <c r="D35" i="13" s="1"/>
  <c r="C15" i="10"/>
  <c r="D6" i="13"/>
  <c r="C6" i="13" s="1"/>
  <c r="C114" i="2"/>
  <c r="L210" i="1"/>
  <c r="C10" i="10"/>
  <c r="C31" i="2"/>
  <c r="C55" i="2"/>
  <c r="C62" i="2" s="1"/>
  <c r="C35" i="10"/>
  <c r="C36" i="10" s="1"/>
  <c r="C24" i="10"/>
  <c r="G659" i="1"/>
  <c r="G663" i="1" s="1"/>
  <c r="G671" i="1" s="1"/>
  <c r="C5" i="10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F103" i="2"/>
  <c r="H192" i="1"/>
  <c r="G168" i="1"/>
  <c r="C39" i="10" s="1"/>
  <c r="G139" i="1"/>
  <c r="F139" i="1"/>
  <c r="G62" i="2"/>
  <c r="G103" i="2" s="1"/>
  <c r="G42" i="2"/>
  <c r="J50" i="1"/>
  <c r="G16" i="2"/>
  <c r="J19" i="1"/>
  <c r="G620" i="1" s="1"/>
  <c r="F33" i="13"/>
  <c r="G18" i="2"/>
  <c r="F544" i="1"/>
  <c r="H433" i="1"/>
  <c r="J619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J651" i="1"/>
  <c r="J641" i="1"/>
  <c r="G570" i="1"/>
  <c r="I433" i="1"/>
  <c r="G433" i="1"/>
  <c r="I662" i="1"/>
  <c r="G628" i="1" l="1"/>
  <c r="H467" i="1"/>
  <c r="F50" i="1"/>
  <c r="C48" i="2"/>
  <c r="C49" i="2" s="1"/>
  <c r="C50" i="2" s="1"/>
  <c r="G632" i="1"/>
  <c r="H471" i="1"/>
  <c r="G634" i="1"/>
  <c r="G471" i="1"/>
  <c r="C27" i="10"/>
  <c r="F192" i="1"/>
  <c r="C103" i="2"/>
  <c r="G666" i="1"/>
  <c r="H671" i="1"/>
  <c r="C6" i="10" s="1"/>
  <c r="D31" i="13"/>
  <c r="C31" i="13" s="1"/>
  <c r="F659" i="1"/>
  <c r="I659" i="1" s="1"/>
  <c r="I663" i="1" s="1"/>
  <c r="I671" i="1" s="1"/>
  <c r="C7" i="10" s="1"/>
  <c r="E144" i="2"/>
  <c r="H33" i="13"/>
  <c r="C144" i="2"/>
  <c r="C28" i="10"/>
  <c r="D19" i="10" s="1"/>
  <c r="L256" i="1"/>
  <c r="L270" i="1" s="1"/>
  <c r="G630" i="1"/>
  <c r="J630" i="1" s="1"/>
  <c r="D33" i="13"/>
  <c r="D36" i="13" s="1"/>
  <c r="J645" i="1"/>
  <c r="G192" i="1"/>
  <c r="G625" i="1"/>
  <c r="J625" i="1" s="1"/>
  <c r="J51" i="1"/>
  <c r="H620" i="1" s="1"/>
  <c r="J620" i="1" s="1"/>
  <c r="C38" i="10"/>
  <c r="H469" i="1" l="1"/>
  <c r="H628" i="1"/>
  <c r="J628" i="1"/>
  <c r="G627" i="1"/>
  <c r="G467" i="1"/>
  <c r="G621" i="1"/>
  <c r="F51" i="1"/>
  <c r="H616" i="1" s="1"/>
  <c r="J616" i="1" s="1"/>
  <c r="G626" i="1"/>
  <c r="F467" i="1"/>
  <c r="G631" i="1"/>
  <c r="F471" i="1"/>
  <c r="H632" i="1"/>
  <c r="H473" i="1"/>
  <c r="J634" i="1"/>
  <c r="G473" i="1"/>
  <c r="H634" i="1"/>
  <c r="F663" i="1"/>
  <c r="F666" i="1" s="1"/>
  <c r="D11" i="10"/>
  <c r="D22" i="10"/>
  <c r="D27" i="10"/>
  <c r="D17" i="10"/>
  <c r="D24" i="10"/>
  <c r="D13" i="10"/>
  <c r="D21" i="10"/>
  <c r="D18" i="10"/>
  <c r="D12" i="10"/>
  <c r="D10" i="10"/>
  <c r="D26" i="10"/>
  <c r="C30" i="10"/>
  <c r="D16" i="10"/>
  <c r="D23" i="10"/>
  <c r="D20" i="10"/>
  <c r="D15" i="10"/>
  <c r="D25" i="10"/>
  <c r="I666" i="1"/>
  <c r="C41" i="10"/>
  <c r="D38" i="10" s="1"/>
  <c r="H475" i="1" l="1"/>
  <c r="H623" i="1" s="1"/>
  <c r="J623" i="1" s="1"/>
  <c r="G469" i="1"/>
  <c r="G475" i="1" s="1"/>
  <c r="H622" i="1" s="1"/>
  <c r="J622" i="1" s="1"/>
  <c r="H627" i="1"/>
  <c r="J627" i="1" s="1"/>
  <c r="H626" i="1"/>
  <c r="J626" i="1" s="1"/>
  <c r="F469" i="1"/>
  <c r="H631" i="1"/>
  <c r="J631" i="1" s="1"/>
  <c r="F473" i="1"/>
  <c r="J632" i="1"/>
  <c r="F671" i="1"/>
  <c r="C4" i="10" s="1"/>
  <c r="D28" i="10"/>
  <c r="D37" i="10"/>
  <c r="D36" i="10"/>
  <c r="D35" i="10"/>
  <c r="D40" i="10"/>
  <c r="D39" i="10"/>
  <c r="F475" i="1" l="1"/>
  <c r="H621" i="1" s="1"/>
  <c r="J621" i="1" s="1"/>
  <c r="D41" i="10"/>
  <c r="H655" i="1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<sst xmlns="http://schemas.openxmlformats.org/spreadsheetml/2006/main" count="3946" uniqueCount="912">
  <si>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</si>
  <si>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</si>
  <si>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</si>
  <si>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</si>
  <si>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</si>
  <si>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</si>
  <si>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</si>
  <si>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</si>
  <si>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</si>
  <si>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</si>
  <si>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</si>
  <si>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</si>
  <si>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</si>
  <si>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</si>
  <si>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</si>
  <si>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</si>
  <si>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</si>
  <si>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</si>
  <si>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</si>
  <si>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</si>
  <si>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</si>
  <si>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</si>
  <si>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</si>
  <si>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</si>
  <si>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</si>
  <si>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</si>
  <si>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</si>
  <si>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</si>
  <si>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</si>
  <si>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</si>
  <si>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</si>
  <si>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</si>
  <si>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</si>
  <si>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</si>
  <si>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</si>
  <si>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</si>
  <si>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</si>
  <si>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</si>
  <si>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</si>
  <si>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</si>
  <si>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</si>
  <si>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</si>
  <si>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</si>
  <si>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</si>
  <si>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</si>
  <si>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</si>
  <si>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</si>
  <si>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</si>
  <si>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</si>
  <si>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</si>
  <si>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</si>
  <si>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</si>
  <si>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</si>
  <si>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</si>
  <si>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</si>
  <si>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</si>
  <si>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</si>
  <si>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</si>
  <si>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</si>
  <si>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</si>
  <si>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</si>
  <si>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</si>
  <si>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</si>
  <si>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</si>
  <si>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</si>
  <si>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</si>
  <si>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</si>
  <si>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</si>
  <si>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</si>
  <si>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</si>
  <si>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</si>
  <si>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</si>
  <si>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</si>
  <si>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</si>
  <si>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</si>
  <si>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</si>
  <si>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</si>
  <si>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</si>
  <si>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</si>
  <si>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</si>
  <si>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</si>
  <si>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</si>
  <si>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</si>
  <si>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</si>
  <si>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</si>
  <si>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</si>
  <si>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</si>
  <si>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</si>
  <si>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</si>
  <si>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</si>
  <si>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</si>
  <si>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</si>
  <si>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</si>
  <si>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</si>
  <si>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</si>
  <si>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</si>
  <si>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</si>
  <si>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</si>
  <si>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</si>
  <si>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</si>
  <si>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</si>
  <si>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</si>
  <si>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</si>
  <si>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</si>
  <si>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</si>
  <si>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</si>
  <si>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</si>
  <si>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</si>
  <si>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</si>
  <si>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</si>
  <si>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</si>
  <si>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</si>
  <si>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</si>
  <si>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</si>
  <si>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</si>
  <si>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</si>
  <si>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</si>
  <si>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</si>
  <si>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</si>
  <si>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</si>
  <si>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</si>
  <si>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</si>
  <si>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</si>
  <si>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</si>
  <si>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</si>
  <si>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</si>
  <si>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</si>
  <si>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</si>
  <si>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</si>
  <si>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</si>
  <si>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</si>
  <si>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</si>
  <si>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</si>
  <si>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</si>
  <si>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</si>
  <si>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</si>
  <si>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</si>
  <si>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</si>
  <si>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</si>
  <si>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</si>
  <si>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</si>
  <si>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</si>
  <si>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</si>
  <si>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</si>
  <si>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</si>
  <si>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</si>
  <si>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</si>
  <si>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</si>
  <si>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</si>
  <si>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</si>
  <si>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</si>
  <si>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</si>
  <si>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</si>
  <si>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</si>
  <si>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</si>
  <si>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</si>
  <si>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</si>
  <si>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</si>
  <si>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</si>
  <si>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</si>
  <si>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</si>
  <si>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</si>
  <si>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</si>
  <si>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</si>
  <si>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</si>
  <si>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</si>
  <si>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</si>
  <si>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</si>
  <si>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</si>
  <si>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</si>
  <si>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</si>
  <si>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</si>
  <si>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</si>
  <si>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</si>
  <si>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</si>
  <si>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</si>
  <si>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</si>
  <si>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</si>
  <si>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</si>
  <si>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</si>
  <si>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</si>
  <si>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</si>
  <si>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</si>
  <si>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</si>
  <si>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</si>
  <si>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</si>
  <si>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</si>
  <si>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</si>
  <si>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</si>
  <si>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</si>
  <si>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</si>
  <si>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</si>
  <si>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</si>
  <si>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</si>
  <si>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</si>
  <si>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</si>
  <si>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</si>
  <si>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</si>
  <si>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</si>
  <si>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</si>
  <si>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</si>
  <si>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</si>
  <si>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</si>
  <si>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</si>
  <si>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</si>
  <si>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</si>
  <si>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</si>
  <si>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</si>
  <si>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</si>
  <si>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</si>
  <si>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</si>
  <si>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</si>
  <si>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</si>
  <si>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</si>
  <si>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</si>
  <si>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</si>
  <si>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</si>
  <si>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</si>
  <si>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</si>
  <si>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</si>
  <si>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</si>
  <si>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</si>
  <si>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</si>
  <si>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</si>
  <si>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</si>
  <si>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</si>
  <si>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</si>
  <si>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</si>
  <si>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</si>
  <si>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</si>
  <si>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</si>
  <si>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</si>
  <si>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</si>
  <si>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</si>
  <si>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</si>
  <si>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</si>
  <si>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</si>
  <si>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</si>
  <si>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</si>
  <si>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</si>
  <si>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</si>
  <si>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</si>
  <si>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</si>
  <si>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</si>
  <si>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</si>
  <si>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</si>
  <si>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</si>
  <si>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</si>
  <si>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</si>
  <si>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</si>
  <si>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</si>
  <si>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</si>
  <si>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</si>
  <si>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</si>
  <si>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</si>
  <si>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</si>
  <si>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</si>
  <si>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</si>
  <si>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</si>
  <si>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</si>
  <si>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</si>
  <si>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</si>
  <si>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</si>
  <si>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</si>
  <si>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</si>
  <si>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</si>
  <si>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</si>
  <si>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</si>
  <si>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</si>
  <si>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</si>
  <si>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</si>
  <si>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</si>
  <si>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</si>
  <si>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</si>
  <si>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</si>
  <si>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</si>
  <si>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</si>
  <si>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</si>
  <si>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</si>
  <si>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</si>
  <si>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</si>
  <si>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</si>
  <si>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</si>
  <si>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</si>
  <si>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</si>
  <si>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</si>
  <si>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</si>
  <si>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</si>
  <si>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</si>
  <si>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</si>
  <si>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</si>
  <si>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</si>
  <si>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</si>
  <si>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</si>
  <si>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</si>
  <si>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</si>
  <si>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</si>
  <si>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</si>
  <si>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</si>
  <si>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</si>
  <si>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</si>
  <si>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</si>
  <si>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</si>
  <si>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</si>
  <si>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</si>
  <si>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</si>
  <si>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</si>
  <si>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</si>
  <si>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</si>
  <si>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</si>
  <si>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</si>
  <si>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</si>
  <si>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</si>
  <si>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</si>
  <si>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</si>
  <si>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</si>
  <si>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</si>
  <si>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</si>
  <si>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</si>
  <si>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</si>
  <si>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</si>
  <si>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</si>
  <si>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</si>
  <si>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</si>
  <si>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</si>
  <si>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</si>
  <si>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</si>
  <si>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</si>
  <si>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</si>
  <si>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</si>
  <si>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</si>
  <si>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</si>
  <si>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</si>
  <si>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</si>
  <si>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</si>
  <si>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</si>
  <si>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</si>
  <si>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</si>
  <si>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</si>
  <si>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</si>
  <si>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</si>
  <si>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</si>
  <si>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</si>
  <si>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</si>
  <si>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</si>
  <si>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</si>
  <si>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</si>
  <si>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</si>
  <si>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</si>
  <si>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</si>
  <si>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</si>
  <si>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</si>
  <si>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</si>
  <si>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</si>
  <si>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</si>
  <si>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</si>
  <si>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</si>
  <si>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</si>
  <si>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</si>
  <si>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</si>
  <si>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</si>
  <si>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</si>
  <si>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</si>
  <si>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</si>
  <si>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</si>
  <si>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</si>
  <si>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</si>
  <si>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</si>
  <si>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</si>
  <si>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</si>
  <si>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</si>
  <si>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</si>
  <si>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</si>
  <si>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</si>
  <si>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</si>
  <si>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</si>
  <si>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</si>
  <si>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</si>
  <si>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</si>
  <si>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</si>
  <si>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</si>
  <si>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</si>
  <si>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</si>
  <si>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</si>
  <si>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</si>
  <si>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</si>
  <si>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</si>
  <si>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</si>
  <si>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</si>
  <si>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</si>
  <si>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</si>
  <si>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</si>
  <si>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</si>
  <si>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</si>
  <si>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</si>
  <si>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</si>
  <si>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</si>
  <si>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</si>
  <si>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</si>
  <si>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</si>
  <si>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</si>
  <si>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</si>
  <si>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</si>
  <si>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</si>
  <si>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</si>
  <si>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</si>
  <si>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</si>
  <si>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</si>
  <si>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</si>
  <si>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</si>
  <si>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</si>
  <si>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</si>
  <si>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</si>
  <si>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</si>
  <si>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</si>
  <si>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</si>
  <si>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</si>
  <si>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</si>
  <si>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</si>
  <si>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</si>
  <si>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</si>
  <si>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</si>
  <si>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</si>
  <si>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</si>
  <si>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</si>
  <si>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</si>
  <si>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</si>
  <si>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</si>
  <si>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</si>
  <si>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</si>
  <si>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</si>
  <si>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</si>
  <si>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</si>
  <si>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</si>
  <si>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</si>
  <si>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</si>
  <si>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</si>
  <si>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</si>
  <si>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</si>
  <si>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</si>
  <si>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</si>
  <si>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</si>
  <si>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</si>
  <si>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</si>
  <si>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</si>
  <si>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</si>
  <si>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</si>
  <si>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</si>
  <si>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</si>
  <si>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</si>
  <si>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</si>
  <si>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</si>
  <si>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</si>
  <si>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</si>
  <si>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</si>
  <si>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</si>
  <si>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</si>
  <si>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</si>
  <si>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</si>
  <si>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</si>
  <si>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</si>
  <si>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</si>
  <si>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</si>
  <si>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</si>
  <si>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</si>
  <si>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</si>
  <si>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</si>
  <si>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</si>
  <si>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</si>
  <si>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</si>
  <si>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</si>
  <si>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</si>
  <si>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</si>
  <si>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</si>
  <si>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</si>
  <si>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</si>
  <si>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</si>
  <si>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</si>
  <si>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</si>
  <si>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</si>
  <si>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</si>
  <si>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</si>
  <si>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</si>
  <si>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</si>
  <si>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</si>
  <si>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</si>
  <si>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</si>
  <si>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</si>
  <si>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</si>
  <si>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</si>
  <si>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</si>
  <si>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</si>
  <si>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</si>
  <si>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</si>
  <si>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</si>
  <si>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</si>
  <si>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</si>
  <si>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</si>
  <si>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</si>
  <si>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</si>
  <si>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</si>
  <si>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</si>
  <si>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</si>
  <si>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</si>
  <si>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</si>
  <si>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</si>
  <si>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</si>
  <si>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</si>
  <si>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</si>
  <si>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</si>
  <si>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</si>
  <si>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</si>
  <si>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</si>
  <si>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</si>
  <si>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</si>
  <si>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</si>
  <si>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</si>
  <si>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</si>
  <si>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</si>
  <si>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</si>
  <si>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</si>
  <si>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</si>
  <si>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</si>
  <si>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</si>
  <si>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</si>
  <si>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</si>
  <si>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</si>
  <si>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</si>
  <si>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</si>
  <si>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</si>
  <si>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</si>
  <si>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</si>
  <si>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</si>
  <si>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</si>
  <si>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</si>
  <si>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</si>
  <si>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</si>
  <si>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</si>
  <si>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</si>
  <si>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</si>
  <si>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</si>
  <si>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</si>
  <si>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</si>
  <si>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</si>
  <si>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</si>
  <si>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</si>
  <si>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</si>
  <si>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</si>
  <si>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</si>
  <si>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</si>
  <si>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</si>
  <si>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</si>
  <si>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</si>
  <si>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</si>
  <si>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</si>
  <si>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</si>
  <si>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</si>
  <si>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</si>
  <si>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</si>
  <si>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</si>
  <si>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</si>
  <si>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</si>
  <si>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</si>
  <si>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</si>
  <si>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</si>
  <si>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</si>
  <si>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</si>
  <si>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</si>
  <si>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</si>
  <si>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</si>
  <si>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</si>
  <si>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</si>
  <si>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</si>
  <si>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</si>
  <si>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</si>
  <si>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</si>
  <si>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</si>
  <si>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</si>
  <si>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</si>
  <si>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</si>
  <si>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</si>
  <si>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</si>
  <si>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</si>
  <si>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</si>
  <si>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</si>
  <si>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</si>
  <si>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</si>
  <si>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</si>
  <si>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</si>
  <si>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</si>
  <si>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</si>
  <si>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</si>
  <si>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</si>
  <si>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</si>
  <si>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</si>
  <si>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</si>
  <si>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</si>
  <si>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</si>
  <si>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</si>
  <si>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</si>
  <si>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</si>
  <si>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</si>
  <si>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</si>
  <si>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</si>
  <si>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</si>
  <si>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</si>
  <si>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</si>
  <si>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</si>
  <si>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</si>
  <si>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</si>
  <si>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</si>
  <si>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</si>
  <si>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</si>
  <si>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</si>
  <si>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</si>
  <si>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</si>
  <si>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</si>
  <si>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</si>
  <si>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</si>
  <si>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</si>
  <si>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</si>
  <si>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</si>
  <si>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</si>
  <si>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</si>
  <si>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</si>
  <si>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</si>
  <si>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</si>
  <si>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</si>
  <si>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</si>
  <si>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</si>
  <si>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</si>
  <si>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</si>
  <si>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</si>
  <si>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</si>
  <si>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</si>
  <si>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</si>
  <si>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</si>
  <si>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</si>
  <si>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</si>
  <si>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</si>
  <si>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</si>
  <si>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</si>
  <si>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</si>
  <si>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</si>
  <si>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</si>
  <si>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</si>
  <si>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</si>
  <si>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</si>
  <si>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</si>
  <si>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</si>
  <si>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</si>
  <si>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</si>
  <si>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</si>
  <si>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</si>
  <si>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</si>
  <si>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</si>
  <si>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</si>
  <si>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</si>
  <si>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</si>
  <si>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</si>
  <si>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</si>
  <si>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</si>
  <si>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</si>
  <si>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</si>
  <si>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</si>
  <si>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</si>
  <si>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</si>
  <si>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</si>
  <si>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</si>
  <si>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</si>
  <si>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</si>
  <si>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</si>
  <si>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</si>
  <si>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</si>
  <si>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</si>
  <si>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</si>
  <si>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</si>
  <si>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</si>
  <si>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</si>
  <si>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</si>
  <si>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</si>
  <si>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</si>
  <si>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</si>
  <si>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</si>
  <si>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</si>
  <si>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</si>
  <si>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</si>
  <si>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</si>
  <si>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</si>
  <si>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</si>
  <si>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</si>
  <si>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</si>
  <si>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</si>
  <si>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</si>
  <si>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</si>
  <si>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</si>
  <si>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</si>
  <si>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</si>
  <si>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</si>
  <si>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</si>
  <si>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</si>
  <si>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</si>
  <si>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</si>
  <si>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</si>
  <si>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</si>
  <si>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</si>
  <si>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</si>
  <si>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</si>
  <si>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</si>
  <si>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</si>
  <si>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</si>
  <si>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</si>
  <si>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</si>
  <si>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</si>
  <si>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</si>
  <si>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</si>
  <si>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</si>
  <si>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</si>
  <si>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</si>
  <si>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</si>
  <si>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</si>
  <si>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</si>
  <si>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</si>
  <si>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</si>
  <si>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</si>
  <si>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</si>
  <si>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</si>
  <si>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</si>
  <si>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</si>
  <si>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</si>
  <si>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</si>
  <si>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</si>
  <si>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</si>
  <si>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</si>
  <si>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</si>
  <si>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</si>
  <si>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</si>
  <si>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</si>
  <si>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</si>
  <si>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</si>
  <si>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</si>
  <si>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</si>
  <si>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</si>
  <si>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</si>
  <si>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</si>
  <si>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</si>
  <si>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</si>
  <si>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</si>
  <si>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</si>
  <si>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</si>
  <si>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</si>
  <si>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</si>
  <si>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</si>
  <si>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</si>
  <si>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</si>
  <si>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</si>
  <si>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</si>
  <si>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</si>
  <si>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</si>
  <si>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</si>
  <si>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</si>
  <si>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</si>
  <si>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</si>
  <si>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</si>
  <si>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</si>
  <si>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</si>
  <si>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</si>
  <si>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</si>
  <si>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</si>
  <si>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</si>
  <si>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</si>
  <si>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</si>
  <si>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</si>
  <si>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</si>
  <si>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</si>
  <si>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</si>
  <si>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</si>
  <si>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</si>
  <si>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</si>
  <si>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</si>
  <si>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</si>
  <si>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</si>
  <si>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</si>
  <si>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</si>
  <si>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</si>
  <si>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</si>
  <si>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</si>
  <si>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</si>
  <si>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</si>
  <si>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</si>
  <si>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</si>
  <si>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</si>
  <si>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</si>
  <si>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</si>
  <si>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</si>
  <si>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</si>
  <si>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</si>
  <si>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</si>
  <si>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</si>
  <si>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</si>
  <si>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</si>
  <si>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</si>
  <si>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</si>
  <si>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</si>
  <si>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</si>
  <si>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</si>
  <si>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</si>
  <si>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</si>
  <si>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</si>
  <si>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</si>
  <si>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</si>
  <si>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</si>
  <si>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</si>
  <si>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</si>
  <si>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</si>
  <si>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</si>
  <si>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</si>
  <si>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</si>
  <si>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</si>
  <si>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</si>
  <si>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</si>
  <si>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</si>
  <si>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</si>
  <si>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</si>
  <si>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</si>
  <si>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</si>
  <si>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</si>
  <si>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</si>
  <si>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</si>
  <si>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</si>
  <si>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</si>
  <si>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</si>
  <si>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</si>
  <si>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</si>
  <si>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</si>
  <si>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</si>
  <si>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</si>
  <si>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</si>
  <si>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</si>
  <si>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</si>
  <si>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</si>
  <si>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</si>
  <si>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</si>
  <si>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</si>
  <si>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</si>
  <si>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</si>
  <si>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</si>
  <si>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</si>
  <si>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</si>
  <si>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</si>
  <si>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</si>
  <si>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</si>
  <si>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</si>
  <si>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</si>
  <si>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</si>
  <si>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</si>
  <si>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</si>
  <si>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</si>
  <si>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</si>
  <si>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</si>
  <si>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</si>
  <si>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</si>
  <si>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</si>
  <si>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</si>
  <si>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</si>
  <si>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</si>
  <si>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</si>
  <si>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</si>
  <si>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</si>
  <si>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</si>
  <si>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</si>
  <si>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</si>
  <si>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</si>
  <si>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</si>
  <si>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</si>
  <si>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</si>
  <si>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</si>
  <si>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</si>
  <si>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</si>
  <si>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</si>
  <si>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</si>
  <si>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</si>
  <si>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</si>
  <si>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</si>
  <si>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</si>
  <si>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</si>
  <si>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</si>
  <si>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</si>
  <si>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</si>
  <si>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</si>
  <si>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</si>
  <si>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</si>
  <si>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</si>
  <si>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</si>
  <si>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</si>
  <si>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</si>
  <si>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</si>
  <si>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</si>
  <si>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</si>
  <si>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</si>
  <si>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</si>
  <si>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</si>
  <si>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</si>
  <si>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</si>
  <si>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</si>
  <si>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</si>
  <si>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</si>
  <si>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</si>
  <si>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</si>
  <si>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Cornish Elementary School</t>
  </si>
  <si>
    <t>07/15/11</t>
  </si>
  <si>
    <t>07/15/19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</si>
</sst>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\\sauserver2\users\DOE-25\FY2011-2012\Final\TOT08.xlsx" TargetMode="External"/><Relationship Id="rId13" Type="http://schemas.openxmlformats.org/officeDocument/2006/relationships/externalLinkPath" Target="file:///\\sauserver2\users\DOE-25\FY2011-2012\Final\TOT13.xlsx" TargetMode="External"/><Relationship Id="rId18" Type="http://schemas.openxmlformats.org/officeDocument/2006/relationships/externalLinkPath" Target="file:///\\sauserver2\users\DOE-25\FY2011-2012\Final\TOT18.xlsx" TargetMode="External"/><Relationship Id="rId3" Type="http://schemas.openxmlformats.org/officeDocument/2006/relationships/externalLinkPath" Target="file:///\\sauserver2\users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\\sauserver2\users\DOE-25\FY2011-2012\Final\TOT07.xlsx" TargetMode="External"/><Relationship Id="rId12" Type="http://schemas.openxmlformats.org/officeDocument/2006/relationships/externalLinkPath" Target="file:///\\sauserver2\users\DOE-25\FY2011-2012\Final\TOT12.xlsx" TargetMode="External"/><Relationship Id="rId17" Type="http://schemas.openxmlformats.org/officeDocument/2006/relationships/externalLinkPath" Target="file:///\\sauserver2\users\DOE-25\FY2011-2012\Final\TOT17.xlsx" TargetMode="External"/><Relationship Id="rId2" Type="http://schemas.openxmlformats.org/officeDocument/2006/relationships/externalLinkPath" Target="file:///\\sauserver2\users\DOE-25\FY2011-2012\Final\TOT02.xlsx" TargetMode="External"/><Relationship Id="rId16" Type="http://schemas.openxmlformats.org/officeDocument/2006/relationships/externalLinkPath" Target="file:///\\sauserver2\users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\\sauserver2\users\DOE-25\FY2011-2012\Final\TOT01.xlsx" TargetMode="External"/><Relationship Id="rId6" Type="http://schemas.openxmlformats.org/officeDocument/2006/relationships/externalLinkPath" Target="file:///\\sauserver2\users\DOE-25\FY2011-2012\Final\TOT06.xlsx" TargetMode="External"/><Relationship Id="rId11" Type="http://schemas.openxmlformats.org/officeDocument/2006/relationships/externalLinkPath" Target="file:///\\sauserver2\users\DOE-25\FY2011-2012\Final\TOT11.xlsx" TargetMode="External"/><Relationship Id="rId5" Type="http://schemas.openxmlformats.org/officeDocument/2006/relationships/externalLinkPath" Target="file:///\\sauserver2\users\DOE-25\FY2011-2012\Final\TOT05.xlsx" TargetMode="External"/><Relationship Id="rId15" Type="http://schemas.openxmlformats.org/officeDocument/2006/relationships/externalLinkPath" Target="file:///\\sauserver2\users\DOE-25\FY2011-2012\Final\TOT15.xlsx" TargetMode="External"/><Relationship Id="rId10" Type="http://schemas.openxmlformats.org/officeDocument/2006/relationships/externalLinkPath" Target="file:///\\sauserver2\users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\\sauserver2\users\DOE-25\FY2011-2012\Final\TOT04.xlsx" TargetMode="External"/><Relationship Id="rId9" Type="http://schemas.openxmlformats.org/officeDocument/2006/relationships/externalLinkPath" Target="file:///\\sauserver2\users\DOE-25\FY2011-2012\Final\TOT09.xlsx" TargetMode="External"/><Relationship Id="rId14" Type="http://schemas.openxmlformats.org/officeDocument/2006/relationships/externalLinkPath" Target="file:///\\sauserver2\users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I668" sqref="I66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115</v>
      </c>
      <c r="C2" s="21">
        <v>115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92917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8059</v>
      </c>
      <c r="G10" s="18"/>
      <c r="H10" s="18"/>
      <c r="I10" s="18"/>
      <c r="J10" s="67">
        <f>SUM(I439)</f>
        <v>88473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-18710-3000</f>
        <v>-21710</v>
      </c>
      <c r="G12" s="18">
        <v>24000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3887</v>
      </c>
      <c r="H13" s="18">
        <f>34602</f>
        <v>34602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>
        <f>15618</f>
        <v>15618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64656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143922</v>
      </c>
      <c r="G19" s="41">
        <f>SUM(G9:G18)</f>
        <v>27887</v>
      </c>
      <c r="H19" s="41">
        <f>SUM(H9:H18)</f>
        <v>50220</v>
      </c>
      <c r="I19" s="41">
        <f>SUM(I9:I18)</f>
        <v>0</v>
      </c>
      <c r="J19" s="41">
        <f>SUM(J9:J18)</f>
        <v>88473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f>41599+1618</f>
        <v>43217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1003</v>
      </c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>
        <v>1941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-442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-442</v>
      </c>
      <c r="G32" s="41">
        <f>SUM(G22:G31)</f>
        <v>45158</v>
      </c>
      <c r="H32" s="41">
        <f>SUM(H22:H31)</f>
        <v>1003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64656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-41271+24000</f>
        <v>-17271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f>15289+8917</f>
        <v>24206</v>
      </c>
      <c r="G47" s="18"/>
      <c r="H47" s="18">
        <v>49217</v>
      </c>
      <c r="I47" s="18"/>
      <c r="J47" s="13">
        <f>SUM(I458)</f>
        <v>88473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350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-350+(F19-F32-F47-F36)</f>
        <v>55152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144364</v>
      </c>
      <c r="G50" s="41">
        <f>SUM(G35:G49)</f>
        <v>-17271</v>
      </c>
      <c r="H50" s="41">
        <f>SUM(H35:H49)</f>
        <v>49217</v>
      </c>
      <c r="I50" s="41">
        <f>SUM(I35:I49)</f>
        <v>0</v>
      </c>
      <c r="J50" s="41">
        <f>SUM(J35:J49)</f>
        <v>88473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143922</v>
      </c>
      <c r="G51" s="41">
        <f>G50+G32</f>
        <v>27887</v>
      </c>
      <c r="H51" s="41">
        <f>H50+H32</f>
        <v>50220</v>
      </c>
      <c r="I51" s="41">
        <f>I50+I32</f>
        <v>0</v>
      </c>
      <c r="J51" s="41">
        <f>J50+J32</f>
        <v>88473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2595964-F117</f>
        <v>2164669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15000</v>
      </c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2179669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>
        <v>31444</v>
      </c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31444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804</v>
      </c>
      <c r="G95" s="18"/>
      <c r="H95" s="18"/>
      <c r="I95" s="18"/>
      <c r="J95" s="18"/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23442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14775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15679</v>
      </c>
      <c r="G110" s="41">
        <f>SUM(G95:G109)</f>
        <v>23442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2195348</v>
      </c>
      <c r="G111" s="41">
        <f>G59+G110</f>
        <v>23442</v>
      </c>
      <c r="H111" s="41">
        <f>H59+H78+H93+H110</f>
        <v>31444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742953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431295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1174248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17627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17627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1191875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6151+3260</f>
        <v>9411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10894+2119+2114+48</f>
        <v>15175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9320+3887-2267</f>
        <v>10940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17091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17091</v>
      </c>
      <c r="G161" s="41">
        <f>SUM(G149:G160)</f>
        <v>10940</v>
      </c>
      <c r="H161" s="41">
        <f>SUM(H149:H160)</f>
        <v>24586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17091</v>
      </c>
      <c r="G168" s="41">
        <f>G146+G161+SUM(G162:G167)</f>
        <v>10940</v>
      </c>
      <c r="H168" s="41">
        <f>H146+H161+SUM(H162:H167)</f>
        <v>24586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24000</v>
      </c>
      <c r="H178" s="18">
        <v>3000</v>
      </c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23000</v>
      </c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23000</v>
      </c>
      <c r="G182" s="41">
        <f>SUM(G178:G181)</f>
        <v>24000</v>
      </c>
      <c r="H182" s="41">
        <f>SUM(H178:H181)</f>
        <v>3000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23000</v>
      </c>
      <c r="G191" s="41">
        <f>G182+SUM(G187:G190)</f>
        <v>24000</v>
      </c>
      <c r="H191" s="41">
        <f>+H182+SUM(H187:H190)</f>
        <v>3000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3427314</v>
      </c>
      <c r="G192" s="47">
        <f>G111+G139+G168+G191</f>
        <v>58382</v>
      </c>
      <c r="H192" s="47">
        <f>H111+H139+H168+H191</f>
        <v>59030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616018+70601+48623</f>
        <v>735242</v>
      </c>
      <c r="G196" s="18">
        <f>173956+9731+1094+3239+4787+9726+41825+58797</f>
        <v>303155</v>
      </c>
      <c r="H196" s="18">
        <f>1425+14200</f>
        <v>15625</v>
      </c>
      <c r="I196" s="18">
        <f>13565+109+11562+2923+4198+2522+4745</f>
        <v>39624</v>
      </c>
      <c r="J196" s="18">
        <f>34181+2078+474</f>
        <v>36733</v>
      </c>
      <c r="K196" s="18"/>
      <c r="L196" s="19">
        <f>SUM(F196:K196)</f>
        <v>1130379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62702+83840+1600</f>
        <v>148142</v>
      </c>
      <c r="G197" s="18">
        <f>42303+3914+439+586+941+2407+10252+15614+23+97+161</f>
        <v>76737</v>
      </c>
      <c r="H197" s="18">
        <f>16530+108+22595+14790+180+2896+31127+438</f>
        <v>88664</v>
      </c>
      <c r="I197" s="18">
        <f>956+317</f>
        <v>1273</v>
      </c>
      <c r="J197" s="18">
        <f>688</f>
        <v>688</v>
      </c>
      <c r="K197" s="18"/>
      <c r="L197" s="19">
        <f>SUM(F197:K197)</f>
        <v>315504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1500</v>
      </c>
      <c r="G199" s="18">
        <f>37</f>
        <v>37</v>
      </c>
      <c r="H199" s="18">
        <v>3932</v>
      </c>
      <c r="I199" s="18">
        <v>1397</v>
      </c>
      <c r="J199" s="18"/>
      <c r="K199" s="18"/>
      <c r="L199" s="19">
        <f>SUM(F199:K199)</f>
        <v>6866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50556+14196</f>
        <v>64752</v>
      </c>
      <c r="G201" s="18">
        <f>3455+303+212+341+677+2895+377+137+221+193+824+1604</f>
        <v>11239</v>
      </c>
      <c r="H201" s="18"/>
      <c r="I201" s="18">
        <f>68+978</f>
        <v>1046</v>
      </c>
      <c r="J201" s="18">
        <v>110</v>
      </c>
      <c r="K201" s="18"/>
      <c r="L201" s="19">
        <f t="shared" ref="L201:L207" si="0">SUM(F201:K201)</f>
        <v>77147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41249</v>
      </c>
      <c r="G202" s="18">
        <f>433+174+280+558+2388+4661</f>
        <v>8494</v>
      </c>
      <c r="H202" s="18">
        <v>8998</v>
      </c>
      <c r="I202" s="18">
        <f>1934+2220+348</f>
        <v>4502</v>
      </c>
      <c r="J202" s="18"/>
      <c r="K202" s="18"/>
      <c r="L202" s="19">
        <f t="shared" si="0"/>
        <v>63243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>
        <v>80</v>
      </c>
      <c r="H203" s="18">
        <f>4509+6379+2198+950+158982</f>
        <v>173018</v>
      </c>
      <c r="I203" s="18">
        <v>1640</v>
      </c>
      <c r="J203" s="18"/>
      <c r="K203" s="18">
        <v>2461</v>
      </c>
      <c r="L203" s="19">
        <f t="shared" si="0"/>
        <v>177199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77000+33306</f>
        <v>110306</v>
      </c>
      <c r="G204" s="18">
        <f>26050+1220+275+466+748+1528+6531+11632</f>
        <v>48450</v>
      </c>
      <c r="H204" s="18">
        <f>2015+1700+1075+1600</f>
        <v>6390</v>
      </c>
      <c r="I204" s="18">
        <v>15</v>
      </c>
      <c r="J204" s="18"/>
      <c r="K204" s="18">
        <f>676+485+1204</f>
        <v>2365</v>
      </c>
      <c r="L204" s="19">
        <f t="shared" si="0"/>
        <v>167526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70811</v>
      </c>
      <c r="G206" s="18">
        <f>11470+500+74+295+473+970+4149+4259</f>
        <v>22190</v>
      </c>
      <c r="H206" s="18">
        <f>21759+1235+4525+780+28309+30220+13757+3619</f>
        <v>104204</v>
      </c>
      <c r="I206" s="18">
        <f>11859+22854+6990+11256</f>
        <v>52959</v>
      </c>
      <c r="J206" s="18"/>
      <c r="K206" s="18"/>
      <c r="L206" s="19">
        <f t="shared" si="0"/>
        <v>250164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2197+144624+7941+679</f>
        <v>155441</v>
      </c>
      <c r="I207" s="18"/>
      <c r="J207" s="18"/>
      <c r="K207" s="18"/>
      <c r="L207" s="19">
        <f t="shared" si="0"/>
        <v>155441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1172002</v>
      </c>
      <c r="G210" s="41">
        <f t="shared" si="1"/>
        <v>470382</v>
      </c>
      <c r="H210" s="41">
        <f t="shared" si="1"/>
        <v>556272</v>
      </c>
      <c r="I210" s="41">
        <f t="shared" si="1"/>
        <v>102456</v>
      </c>
      <c r="J210" s="41">
        <f t="shared" si="1"/>
        <v>37531</v>
      </c>
      <c r="K210" s="41">
        <f t="shared" si="1"/>
        <v>4826</v>
      </c>
      <c r="L210" s="41">
        <f t="shared" si="1"/>
        <v>2343469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181002+764558</f>
        <v>945560</v>
      </c>
      <c r="I232" s="18"/>
      <c r="J232" s="18"/>
      <c r="K232" s="18"/>
      <c r="L232" s="19">
        <f>SUM(F232:K232)</f>
        <v>945560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79758</v>
      </c>
      <c r="I233" s="18"/>
      <c r="J233" s="18"/>
      <c r="K233" s="18"/>
      <c r="L233" s="19">
        <f>SUM(F233:K233)</f>
        <v>79758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1025318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1025318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1172002</v>
      </c>
      <c r="G256" s="41">
        <f t="shared" si="8"/>
        <v>470382</v>
      </c>
      <c r="H256" s="41">
        <f t="shared" si="8"/>
        <v>1581590</v>
      </c>
      <c r="I256" s="41">
        <f t="shared" si="8"/>
        <v>102456</v>
      </c>
      <c r="J256" s="41">
        <f t="shared" si="8"/>
        <v>37531</v>
      </c>
      <c r="K256" s="41">
        <f t="shared" si="8"/>
        <v>4826</v>
      </c>
      <c r="L256" s="41">
        <f t="shared" si="8"/>
        <v>3368787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51071</v>
      </c>
      <c r="L259" s="19">
        <f>SUM(F259:K259)</f>
        <v>51071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11489</v>
      </c>
      <c r="L260" s="19">
        <f>SUM(F260:K260)</f>
        <v>11489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24000</v>
      </c>
      <c r="L262" s="19">
        <f>SUM(F262:K262)</f>
        <v>24000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3000</v>
      </c>
      <c r="L263" s="19">
        <f t="shared" ref="L263:L269" si="9">SUM(F263:K263)</f>
        <v>3000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89560</v>
      </c>
      <c r="L269" s="41">
        <f t="shared" si="9"/>
        <v>89560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1172002</v>
      </c>
      <c r="G270" s="42">
        <f t="shared" si="11"/>
        <v>470382</v>
      </c>
      <c r="H270" s="42">
        <f t="shared" si="11"/>
        <v>1581590</v>
      </c>
      <c r="I270" s="42">
        <f t="shared" si="11"/>
        <v>102456</v>
      </c>
      <c r="J270" s="42">
        <f t="shared" si="11"/>
        <v>37531</v>
      </c>
      <c r="K270" s="42">
        <f t="shared" si="11"/>
        <v>94386</v>
      </c>
      <c r="L270" s="42">
        <f t="shared" si="11"/>
        <v>3458347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1182+1870</f>
        <v>3052</v>
      </c>
      <c r="G275" s="18">
        <f>50+17+73+89+138+145</f>
        <v>512</v>
      </c>
      <c r="H275" s="18"/>
      <c r="I275" s="18">
        <f>8254+590</f>
        <v>8844</v>
      </c>
      <c r="J275" s="18"/>
      <c r="K275" s="18"/>
      <c r="L275" s="19">
        <f>SUM(F275:K275)</f>
        <v>12408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1139+5975</f>
        <v>7114</v>
      </c>
      <c r="G276" s="18">
        <f>17+87+71+370</f>
        <v>545</v>
      </c>
      <c r="H276" s="18">
        <f>520</f>
        <v>520</v>
      </c>
      <c r="I276" s="18">
        <f>227</f>
        <v>227</v>
      </c>
      <c r="J276" s="18"/>
      <c r="K276" s="18"/>
      <c r="L276" s="19">
        <f>SUM(F276:K276)</f>
        <v>8406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20159</v>
      </c>
      <c r="G278" s="18">
        <f>3128+263+281+1200+160</f>
        <v>5032</v>
      </c>
      <c r="H278" s="18">
        <v>332</v>
      </c>
      <c r="I278" s="18">
        <f>476+1571</f>
        <v>2047</v>
      </c>
      <c r="J278" s="18"/>
      <c r="K278" s="18"/>
      <c r="L278" s="19">
        <f>SUM(F278:K278)</f>
        <v>27570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1290</f>
        <v>1290</v>
      </c>
      <c r="G281" s="18">
        <f>19+72+105</f>
        <v>196</v>
      </c>
      <c r="H281" s="18">
        <f>770+332+2000+209-82+150</f>
        <v>3379</v>
      </c>
      <c r="I281" s="18">
        <f>-162+150+14+120+590+8254</f>
        <v>8966</v>
      </c>
      <c r="J281" s="18"/>
      <c r="K281" s="18"/>
      <c r="L281" s="19">
        <f t="shared" si="12"/>
        <v>13831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f>95+60+433+86+258+72+100</f>
        <v>1104</v>
      </c>
      <c r="L284" s="19">
        <f t="shared" si="12"/>
        <v>1104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31615</v>
      </c>
      <c r="G289" s="42">
        <f t="shared" si="13"/>
        <v>6285</v>
      </c>
      <c r="H289" s="42">
        <f t="shared" si="13"/>
        <v>4231</v>
      </c>
      <c r="I289" s="42">
        <f t="shared" si="13"/>
        <v>20084</v>
      </c>
      <c r="J289" s="42">
        <f t="shared" si="13"/>
        <v>0</v>
      </c>
      <c r="K289" s="42">
        <f t="shared" si="13"/>
        <v>1104</v>
      </c>
      <c r="L289" s="41">
        <f t="shared" si="13"/>
        <v>63319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31615</v>
      </c>
      <c r="G337" s="41">
        <f t="shared" si="20"/>
        <v>6285</v>
      </c>
      <c r="H337" s="41">
        <f t="shared" si="20"/>
        <v>4231</v>
      </c>
      <c r="I337" s="41">
        <f t="shared" si="20"/>
        <v>20084</v>
      </c>
      <c r="J337" s="41">
        <f t="shared" si="20"/>
        <v>0</v>
      </c>
      <c r="K337" s="41">
        <f t="shared" si="20"/>
        <v>1104</v>
      </c>
      <c r="L337" s="41">
        <f t="shared" si="20"/>
        <v>63319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31615</v>
      </c>
      <c r="G351" s="41">
        <f>G337</f>
        <v>6285</v>
      </c>
      <c r="H351" s="41">
        <f>H337</f>
        <v>4231</v>
      </c>
      <c r="I351" s="41">
        <f>I337</f>
        <v>20084</v>
      </c>
      <c r="J351" s="41">
        <f>J337</f>
        <v>0</v>
      </c>
      <c r="K351" s="47">
        <f>K337+K350</f>
        <v>1104</v>
      </c>
      <c r="L351" s="41">
        <f>L337+L350</f>
        <v>63319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34584+1640</f>
        <v>36224</v>
      </c>
      <c r="G357" s="18"/>
      <c r="H357" s="18">
        <f>247+363+480+6500+350</f>
        <v>7940</v>
      </c>
      <c r="I357" s="18">
        <f>18616+(10253-H357)</f>
        <v>20929</v>
      </c>
      <c r="J357" s="18"/>
      <c r="K357" s="18"/>
      <c r="L357" s="13">
        <f>SUM(F357:K357)</f>
        <v>65093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36224</v>
      </c>
      <c r="G361" s="47">
        <f t="shared" si="22"/>
        <v>0</v>
      </c>
      <c r="H361" s="47">
        <f t="shared" si="22"/>
        <v>7940</v>
      </c>
      <c r="I361" s="47">
        <f t="shared" si="22"/>
        <v>20929</v>
      </c>
      <c r="J361" s="47">
        <f t="shared" si="22"/>
        <v>0</v>
      </c>
      <c r="K361" s="47">
        <f t="shared" si="22"/>
        <v>0</v>
      </c>
      <c r="L361" s="47">
        <f t="shared" si="22"/>
        <v>65093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18616</v>
      </c>
      <c r="G366" s="18"/>
      <c r="H366" s="18"/>
      <c r="I366" s="56">
        <f>SUM(F366:H366)</f>
        <v>18616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958+67+89+456+603+78+62</f>
        <v>2313</v>
      </c>
      <c r="G367" s="63"/>
      <c r="H367" s="63"/>
      <c r="I367" s="56">
        <f>SUM(F367:H367)</f>
        <v>2313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20929</v>
      </c>
      <c r="G368" s="47">
        <f>SUM(G366:G367)</f>
        <v>0</v>
      </c>
      <c r="H368" s="47">
        <f>SUM(H366:H367)</f>
        <v>0</v>
      </c>
      <c r="I368" s="47">
        <f>SUM(I366:I367)</f>
        <v>20929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>
        <v>39786</v>
      </c>
      <c r="L422" s="56">
        <f t="shared" si="29"/>
        <v>39786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39786</v>
      </c>
      <c r="L426" s="47">
        <f t="shared" si="30"/>
        <v>39786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39786</v>
      </c>
      <c r="L433" s="47">
        <f t="shared" si="32"/>
        <v>39786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>
        <f>15133+11520+24702+25674+11444</f>
        <v>88473</v>
      </c>
      <c r="I439" s="56">
        <f t="shared" si="33"/>
        <v>88473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88473</v>
      </c>
      <c r="I445" s="13">
        <f>SUM(I438:I444)</f>
        <v>88473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>
        <f>H439</f>
        <v>88473</v>
      </c>
      <c r="I458" s="56">
        <f t="shared" si="34"/>
        <v>88473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88473</v>
      </c>
      <c r="I459" s="83">
        <f>SUM(I453:I458)</f>
        <v>88473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88473</v>
      </c>
      <c r="I460" s="42">
        <f>I451+I459</f>
        <v>88473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92680</v>
      </c>
      <c r="G464" s="18">
        <v>-9417</v>
      </c>
      <c r="H464" s="18">
        <v>43568</v>
      </c>
      <c r="I464" s="18"/>
      <c r="J464" s="18">
        <v>128259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3427314</v>
      </c>
      <c r="G467" s="18">
        <f>G192</f>
        <v>58382</v>
      </c>
      <c r="H467" s="18">
        <f>H192</f>
        <v>59030</v>
      </c>
      <c r="I467" s="18"/>
      <c r="J467" s="18"/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v>82717</v>
      </c>
      <c r="G468" s="18"/>
      <c r="H468" s="18">
        <f>11163-1225</f>
        <v>9938</v>
      </c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3510031</v>
      </c>
      <c r="G469" s="53">
        <f>SUM(G467:G468)</f>
        <v>58382</v>
      </c>
      <c r="H469" s="53">
        <f>SUM(H467:H468)</f>
        <v>68968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3458347</v>
      </c>
      <c r="G471" s="18">
        <f>L361</f>
        <v>65093</v>
      </c>
      <c r="H471" s="18">
        <f>L351</f>
        <v>63319</v>
      </c>
      <c r="I471" s="18"/>
      <c r="J471" s="18">
        <f>K426</f>
        <v>39786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>
        <v>1143</v>
      </c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3458347</v>
      </c>
      <c r="G473" s="53">
        <f>SUM(G471:G472)</f>
        <v>66236</v>
      </c>
      <c r="H473" s="53">
        <f>SUM(H471:H472)</f>
        <v>63319</v>
      </c>
      <c r="I473" s="53">
        <f>SUM(I471:I472)</f>
        <v>0</v>
      </c>
      <c r="J473" s="53">
        <f>SUM(J471:J472)</f>
        <v>39786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144364</v>
      </c>
      <c r="G475" s="53">
        <f>(G464+G469)- G473</f>
        <v>-17271</v>
      </c>
      <c r="H475" s="53">
        <f>(H464+H469)- H473</f>
        <v>49217</v>
      </c>
      <c r="I475" s="53">
        <f>(I464+I469)- I473</f>
        <v>0</v>
      </c>
      <c r="J475" s="53">
        <f>(J464+J469)- J473</f>
        <v>88473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9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460000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0.03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408888.89</v>
      </c>
      <c r="G494" s="18"/>
      <c r="H494" s="18"/>
      <c r="I494" s="18"/>
      <c r="J494" s="18"/>
      <c r="K494" s="53">
        <f>SUM(F494:J494)</f>
        <v>408888.89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357777.78</v>
      </c>
      <c r="G497" s="204"/>
      <c r="H497" s="204"/>
      <c r="I497" s="204"/>
      <c r="J497" s="204"/>
      <c r="K497" s="205">
        <f t="shared" si="35"/>
        <v>357777.78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42806.96</v>
      </c>
      <c r="G498" s="18"/>
      <c r="H498" s="18"/>
      <c r="I498" s="18"/>
      <c r="J498" s="18"/>
      <c r="K498" s="53">
        <f t="shared" si="35"/>
        <v>42806.96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400584.74000000005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400584.74000000005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51111.11</v>
      </c>
      <c r="G500" s="204"/>
      <c r="H500" s="204"/>
      <c r="I500" s="204"/>
      <c r="J500" s="204"/>
      <c r="K500" s="205">
        <f t="shared" si="35"/>
        <v>51111.11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10697.56</v>
      </c>
      <c r="G501" s="18"/>
      <c r="H501" s="18"/>
      <c r="I501" s="18"/>
      <c r="J501" s="18"/>
      <c r="K501" s="53">
        <f t="shared" si="35"/>
        <v>10697.56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61808.67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61808.67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62702+83840+23+97+161+1600</f>
        <v>148423</v>
      </c>
      <c r="G520" s="18">
        <f>42303+3914+439+586+941+2407+10252+15614+23+97+161</f>
        <v>76737</v>
      </c>
      <c r="H520" s="18">
        <f>108+180+2896+31127+679+438</f>
        <v>35428</v>
      </c>
      <c r="I520" s="18">
        <f>956+317</f>
        <v>1273</v>
      </c>
      <c r="J520" s="18"/>
      <c r="K520" s="18"/>
      <c r="L520" s="88">
        <f>SUM(F520:K520)</f>
        <v>261861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79758</v>
      </c>
      <c r="I522" s="18"/>
      <c r="J522" s="18"/>
      <c r="K522" s="18"/>
      <c r="L522" s="88">
        <f>SUM(F522:K522)</f>
        <v>79758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148423</v>
      </c>
      <c r="G523" s="108">
        <f t="shared" ref="G523:L523" si="36">SUM(G520:G522)</f>
        <v>76737</v>
      </c>
      <c r="H523" s="108">
        <f t="shared" si="36"/>
        <v>115186</v>
      </c>
      <c r="I523" s="108">
        <f t="shared" si="36"/>
        <v>1273</v>
      </c>
      <c r="J523" s="108">
        <f t="shared" si="36"/>
        <v>0</v>
      </c>
      <c r="K523" s="108">
        <f t="shared" si="36"/>
        <v>0</v>
      </c>
      <c r="L523" s="89">
        <f t="shared" si="36"/>
        <v>341619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16530+22595+14790</f>
        <v>53915</v>
      </c>
      <c r="I525" s="18"/>
      <c r="J525" s="18"/>
      <c r="K525" s="18"/>
      <c r="L525" s="88">
        <f>SUM(F525:K525)</f>
        <v>53915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53915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53915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7941+679</f>
        <v>8620</v>
      </c>
      <c r="I540" s="18"/>
      <c r="J540" s="18"/>
      <c r="K540" s="18"/>
      <c r="L540" s="88">
        <f>SUM(F540:K540)</f>
        <v>8620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8620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8620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148423</v>
      </c>
      <c r="G544" s="89">
        <f t="shared" ref="G544:L544" si="41">G523+G528+G533+G538+G543</f>
        <v>76737</v>
      </c>
      <c r="H544" s="89">
        <f t="shared" si="41"/>
        <v>177721</v>
      </c>
      <c r="I544" s="89">
        <f t="shared" si="41"/>
        <v>1273</v>
      </c>
      <c r="J544" s="89">
        <f t="shared" si="41"/>
        <v>0</v>
      </c>
      <c r="K544" s="89">
        <f t="shared" si="41"/>
        <v>0</v>
      </c>
      <c r="L544" s="89">
        <f t="shared" si="41"/>
        <v>404154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261861</v>
      </c>
      <c r="G548" s="87">
        <f>L525</f>
        <v>53915</v>
      </c>
      <c r="H548" s="87">
        <f>L530</f>
        <v>0</v>
      </c>
      <c r="I548" s="87">
        <f>L535</f>
        <v>0</v>
      </c>
      <c r="J548" s="87">
        <f>L540</f>
        <v>8620</v>
      </c>
      <c r="K548" s="87">
        <f>SUM(F548:J548)</f>
        <v>324396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79758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79758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341619</v>
      </c>
      <c r="G551" s="89">
        <f t="shared" si="42"/>
        <v>53915</v>
      </c>
      <c r="H551" s="89">
        <f t="shared" si="42"/>
        <v>0</v>
      </c>
      <c r="I551" s="89">
        <f t="shared" si="42"/>
        <v>0</v>
      </c>
      <c r="J551" s="89">
        <f t="shared" si="42"/>
        <v>8620</v>
      </c>
      <c r="K551" s="89">
        <f t="shared" si="42"/>
        <v>404154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181001</v>
      </c>
      <c r="I574" s="87">
        <f>SUM(F574:H574)</f>
        <v>181001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v>764558</v>
      </c>
      <c r="I575" s="87">
        <f t="shared" ref="I575:I586" si="47">SUM(F575:H575)</f>
        <v>764558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2896</v>
      </c>
      <c r="G578" s="18"/>
      <c r="H578" s="18"/>
      <c r="I578" s="87">
        <f t="shared" si="47"/>
        <v>2896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31126</v>
      </c>
      <c r="G579" s="18"/>
      <c r="H579" s="18">
        <v>79758</v>
      </c>
      <c r="I579" s="87">
        <f t="shared" si="47"/>
        <v>110884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144624</v>
      </c>
      <c r="I590" s="18"/>
      <c r="J590" s="18"/>
      <c r="K590" s="104">
        <f t="shared" ref="K590:K596" si="48">SUM(H590:J590)</f>
        <v>144624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7941+679</f>
        <v>8620</v>
      </c>
      <c r="I591" s="18"/>
      <c r="J591" s="18"/>
      <c r="K591" s="104">
        <f t="shared" si="48"/>
        <v>8620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2197</v>
      </c>
      <c r="I594" s="18"/>
      <c r="J594" s="18"/>
      <c r="K594" s="104">
        <f t="shared" si="48"/>
        <v>2197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155441</v>
      </c>
      <c r="I597" s="108">
        <f>SUM(I590:I596)</f>
        <v>0</v>
      </c>
      <c r="J597" s="108">
        <f>SUM(J590:J596)</f>
        <v>0</v>
      </c>
      <c r="K597" s="108">
        <f>SUM(K590:K596)</f>
        <v>155441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37531</v>
      </c>
      <c r="I603" s="18"/>
      <c r="J603" s="18"/>
      <c r="K603" s="104">
        <f>SUM(H603:J603)</f>
        <v>37531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37531</v>
      </c>
      <c r="I604" s="108">
        <f>SUM(I601:I603)</f>
        <v>0</v>
      </c>
      <c r="J604" s="108">
        <f>SUM(J601:J603)</f>
        <v>0</v>
      </c>
      <c r="K604" s="108">
        <f>SUM(K601:K603)</f>
        <v>37531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143922</v>
      </c>
      <c r="H616" s="109">
        <f>SUM(F51)</f>
        <v>143922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27887</v>
      </c>
      <c r="H617" s="109">
        <f>SUM(G51)</f>
        <v>27887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50220</v>
      </c>
      <c r="H618" s="109">
        <f>SUM(H51)</f>
        <v>50220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88473</v>
      </c>
      <c r="H620" s="109">
        <f>SUM(J51)</f>
        <v>88473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144364</v>
      </c>
      <c r="H621" s="109">
        <f>F475</f>
        <v>144364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-17271</v>
      </c>
      <c r="H622" s="109">
        <f>G475</f>
        <v>-17271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49217</v>
      </c>
      <c r="H623" s="109">
        <f>H475</f>
        <v>49217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88473</v>
      </c>
      <c r="H625" s="109">
        <f>J475</f>
        <v>88473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3427314</v>
      </c>
      <c r="H626" s="104">
        <f>SUM(F467)</f>
        <v>3427314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58382</v>
      </c>
      <c r="H627" s="104">
        <f>SUM(G467)</f>
        <v>58382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59030</v>
      </c>
      <c r="H628" s="104">
        <f>SUM(H467)</f>
        <v>59030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3458347</v>
      </c>
      <c r="H631" s="104">
        <f>SUM(F471)</f>
        <v>3458347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63319</v>
      </c>
      <c r="H632" s="104">
        <f>SUM(H471)</f>
        <v>63319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20929</v>
      </c>
      <c r="H633" s="104">
        <f>I368</f>
        <v>20929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65093</v>
      </c>
      <c r="H634" s="104">
        <f>SUM(G471)</f>
        <v>65093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39786</v>
      </c>
      <c r="H637" s="164">
        <f>SUM(J471)</f>
        <v>39786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88473</v>
      </c>
      <c r="H640" s="104">
        <f>SUM(H460)</f>
        <v>88473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88473</v>
      </c>
      <c r="H641" s="104">
        <f>SUM(I460)</f>
        <v>88473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155441</v>
      </c>
      <c r="H646" s="104">
        <f>L207+L225+L243</f>
        <v>155441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37531</v>
      </c>
      <c r="H647" s="104">
        <f>(J256+J337)-(J254+J335)</f>
        <v>37531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155441</v>
      </c>
      <c r="H648" s="104">
        <f>H597</f>
        <v>155441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24000</v>
      </c>
      <c r="H651" s="104">
        <f>K262+K344</f>
        <v>24000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3000</v>
      </c>
      <c r="H652" s="104">
        <f>K263</f>
        <v>3000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2471881</v>
      </c>
      <c r="G659" s="19">
        <f>(L228+L308+L358)</f>
        <v>0</v>
      </c>
      <c r="H659" s="19">
        <f>(L246+L327+L359)</f>
        <v>1025318</v>
      </c>
      <c r="I659" s="19">
        <f>SUM(F659:H659)</f>
        <v>3497199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23442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23442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155441</v>
      </c>
      <c r="G661" s="19">
        <f>(L225+L305)-(J225+J305)</f>
        <v>0</v>
      </c>
      <c r="H661" s="19">
        <f>(L243+L324)-(J243+J324)</f>
        <v>0</v>
      </c>
      <c r="I661" s="19">
        <f>SUM(F661:H661)</f>
        <v>155441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71553</v>
      </c>
      <c r="G662" s="199">
        <f>SUM(G574:G586)+SUM(I601:I603)+L611</f>
        <v>0</v>
      </c>
      <c r="H662" s="199">
        <f>SUM(H574:H586)+SUM(J601:J603)+L612</f>
        <v>1025317</v>
      </c>
      <c r="I662" s="19">
        <f>SUM(F662:H662)</f>
        <v>1096870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2221445</v>
      </c>
      <c r="G663" s="19">
        <f>G659-SUM(G660:G662)</f>
        <v>0</v>
      </c>
      <c r="H663" s="19">
        <f>H659-SUM(H660:H662)</f>
        <v>1</v>
      </c>
      <c r="I663" s="19">
        <f>I659-SUM(I660:I662)</f>
        <v>2221446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117.17</v>
      </c>
      <c r="G664" s="248"/>
      <c r="H664" s="248"/>
      <c r="I664" s="19">
        <f>SUM(F664:H664)</f>
        <v>117.17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18959.16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18959.169999999998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-1</v>
      </c>
      <c r="I668" s="19">
        <f>SUM(F668:H668)</f>
        <v>-1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18959.16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18959.16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fitToHeight="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59" sqref="B5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Cornish Elementary School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738294</v>
      </c>
      <c r="C9" s="229">
        <f>'DOE25'!G196+'DOE25'!G214+'DOE25'!G232+'DOE25'!G275+'DOE25'!G294+'DOE25'!G313</f>
        <v>303667</v>
      </c>
    </row>
    <row r="10" spans="1:3" x14ac:dyDescent="0.2">
      <c r="A10" t="s">
        <v>779</v>
      </c>
      <c r="B10" s="240">
        <f>616018+1182+1870</f>
        <v>619070</v>
      </c>
      <c r="C10" s="240">
        <f>303667-C11-C12</f>
        <v>261699</v>
      </c>
    </row>
    <row r="11" spans="1:3" x14ac:dyDescent="0.2">
      <c r="A11" t="s">
        <v>780</v>
      </c>
      <c r="B11" s="240">
        <v>70600</v>
      </c>
      <c r="C11" s="240">
        <v>40446</v>
      </c>
    </row>
    <row r="12" spans="1:3" x14ac:dyDescent="0.2">
      <c r="A12" t="s">
        <v>781</v>
      </c>
      <c r="B12" s="240">
        <v>48624</v>
      </c>
      <c r="C12" s="240">
        <v>1522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738294</v>
      </c>
      <c r="C13" s="231">
        <f>SUM(C10:C12)</f>
        <v>303667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155256</v>
      </c>
      <c r="C18" s="229">
        <f>'DOE25'!G197+'DOE25'!G215+'DOE25'!G233+'DOE25'!G276+'DOE25'!G295+'DOE25'!G314</f>
        <v>77282</v>
      </c>
    </row>
    <row r="19" spans="1:3" x14ac:dyDescent="0.2">
      <c r="A19" t="s">
        <v>779</v>
      </c>
      <c r="B19" s="240">
        <v>62713</v>
      </c>
      <c r="C19" s="240">
        <f>C18-C20-C21</f>
        <v>33669</v>
      </c>
    </row>
    <row r="20" spans="1:3" x14ac:dyDescent="0.2">
      <c r="A20" t="s">
        <v>780</v>
      </c>
      <c r="B20" s="240">
        <v>83840</v>
      </c>
      <c r="C20" s="240">
        <v>43086</v>
      </c>
    </row>
    <row r="21" spans="1:3" x14ac:dyDescent="0.2">
      <c r="A21" t="s">
        <v>781</v>
      </c>
      <c r="B21" s="240">
        <f>5964+1139+1600</f>
        <v>8703</v>
      </c>
      <c r="C21" s="240">
        <f>17+69+71+370</f>
        <v>527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155256</v>
      </c>
      <c r="C22" s="231">
        <f>SUM(C19:C21)</f>
        <v>77282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21659</v>
      </c>
      <c r="C36" s="235">
        <f>'DOE25'!G199+'DOE25'!G217+'DOE25'!G235+'DOE25'!G278+'DOE25'!G297+'DOE25'!G316</f>
        <v>5069</v>
      </c>
    </row>
    <row r="37" spans="1:3" x14ac:dyDescent="0.2">
      <c r="A37" t="s">
        <v>779</v>
      </c>
      <c r="B37" s="240">
        <v>20159</v>
      </c>
      <c r="C37" s="240">
        <v>5032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1500</f>
        <v>1500</v>
      </c>
      <c r="C39" s="240">
        <v>37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21659</v>
      </c>
      <c r="C40" s="231">
        <f>SUM(C37:C39)</f>
        <v>5069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9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Cornish Elementary School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2478067</v>
      </c>
      <c r="D5" s="20">
        <f>SUM('DOE25'!L196:L199)+SUM('DOE25'!L214:L217)+SUM('DOE25'!L232:L235)-F5-G5</f>
        <v>2440646</v>
      </c>
      <c r="E5" s="243"/>
      <c r="F5" s="255">
        <f>SUM('DOE25'!J196:J199)+SUM('DOE25'!J214:J217)+SUM('DOE25'!J232:J235)</f>
        <v>37421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77147</v>
      </c>
      <c r="D6" s="20">
        <f>'DOE25'!L201+'DOE25'!L219+'DOE25'!L237-F6-G6</f>
        <v>77037</v>
      </c>
      <c r="E6" s="243"/>
      <c r="F6" s="255">
        <f>'DOE25'!J201+'DOE25'!J219+'DOE25'!J237</f>
        <v>110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63243</v>
      </c>
      <c r="D7" s="20">
        <f>'DOE25'!L202+'DOE25'!L220+'DOE25'!L238-F7-G7</f>
        <v>63243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143791.78</v>
      </c>
      <c r="D8" s="243"/>
      <c r="E8" s="20">
        <f>'DOE25'!L203+'DOE25'!L221+'DOE25'!L239-F8-G8-D9-D11</f>
        <v>141330.78</v>
      </c>
      <c r="F8" s="255">
        <f>'DOE25'!J203+'DOE25'!J221+'DOE25'!J239</f>
        <v>0</v>
      </c>
      <c r="G8" s="53">
        <f>'DOE25'!K203+'DOE25'!K221+'DOE25'!K239</f>
        <v>2461</v>
      </c>
      <c r="H8" s="259"/>
    </row>
    <row r="9" spans="1:9" x14ac:dyDescent="0.2">
      <c r="A9" s="32">
        <v>2310</v>
      </c>
      <c r="B9" t="s">
        <v>818</v>
      </c>
      <c r="C9" s="245">
        <f t="shared" si="0"/>
        <v>15755.67</v>
      </c>
      <c r="D9" s="244">
        <v>15755.67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6378.5</v>
      </c>
      <c r="D10" s="243"/>
      <c r="E10" s="244">
        <v>6378.5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17651.55</v>
      </c>
      <c r="D11" s="244">
        <v>17651.55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167526</v>
      </c>
      <c r="D12" s="20">
        <f>'DOE25'!L204+'DOE25'!L222+'DOE25'!L240-F12-G12</f>
        <v>165161</v>
      </c>
      <c r="E12" s="243"/>
      <c r="F12" s="255">
        <f>'DOE25'!J204+'DOE25'!J222+'DOE25'!J240</f>
        <v>0</v>
      </c>
      <c r="G12" s="53">
        <f>'DOE25'!K204+'DOE25'!K222+'DOE25'!K240</f>
        <v>2365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250164</v>
      </c>
      <c r="D14" s="20">
        <f>'DOE25'!L206+'DOE25'!L224+'DOE25'!L242-F14-G14</f>
        <v>250164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155441</v>
      </c>
      <c r="D15" s="20">
        <f>'DOE25'!L207+'DOE25'!L225+'DOE25'!L243-F15-G15</f>
        <v>155441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62560</v>
      </c>
      <c r="D25" s="243"/>
      <c r="E25" s="243"/>
      <c r="F25" s="258"/>
      <c r="G25" s="256"/>
      <c r="H25" s="257">
        <f>'DOE25'!L259+'DOE25'!L260+'DOE25'!L340+'DOE25'!L341</f>
        <v>62560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46477</v>
      </c>
      <c r="D29" s="20">
        <f>'DOE25'!L357+'DOE25'!L358+'DOE25'!L359-'DOE25'!I366-F29-G29</f>
        <v>46477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63319</v>
      </c>
      <c r="D31" s="20">
        <f>'DOE25'!L289+'DOE25'!L308+'DOE25'!L327+'DOE25'!L332+'DOE25'!L333+'DOE25'!L334-F31-G31</f>
        <v>62215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1104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3293791.2199999997</v>
      </c>
      <c r="E33" s="246">
        <f>SUM(E5:E31)</f>
        <v>147709.28</v>
      </c>
      <c r="F33" s="246">
        <f>SUM(F5:F31)</f>
        <v>37531</v>
      </c>
      <c r="G33" s="246">
        <f>SUM(G5:G31)</f>
        <v>5930</v>
      </c>
      <c r="H33" s="246">
        <f>SUM(H5:H31)</f>
        <v>62560</v>
      </c>
    </row>
    <row r="35" spans="2:8" ht="12" thickBot="1" x14ac:dyDescent="0.25">
      <c r="B35" s="253" t="s">
        <v>847</v>
      </c>
      <c r="D35" s="254">
        <f>E33</f>
        <v>147709.28</v>
      </c>
      <c r="E35" s="249"/>
    </row>
    <row r="36" spans="2:8" ht="12" thickTop="1" x14ac:dyDescent="0.2">
      <c r="B36" t="s">
        <v>815</v>
      </c>
      <c r="D36" s="20">
        <f>D33</f>
        <v>3293791.2199999997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24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Cornish Elementary School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92917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8059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88473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-21710</v>
      </c>
      <c r="D11" s="95">
        <f>'DOE25'!G12</f>
        <v>24000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3887</v>
      </c>
      <c r="E12" s="95">
        <f>'DOE25'!H13</f>
        <v>34602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15618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64656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143922</v>
      </c>
      <c r="D18" s="41">
        <f>SUM(D8:D17)</f>
        <v>27887</v>
      </c>
      <c r="E18" s="41">
        <f>SUM(E8:E17)</f>
        <v>50220</v>
      </c>
      <c r="F18" s="41">
        <f>SUM(F8:F17)</f>
        <v>0</v>
      </c>
      <c r="G18" s="41">
        <f>SUM(G8:G17)</f>
        <v>88473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43217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1003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1941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-442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-442</v>
      </c>
      <c r="D31" s="41">
        <f>SUM(D21:D30)</f>
        <v>45158</v>
      </c>
      <c r="E31" s="41">
        <f>SUM(E21:E30)</f>
        <v>1003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64656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-17271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24206</v>
      </c>
      <c r="D46" s="95">
        <f>'DOE25'!G47</f>
        <v>0</v>
      </c>
      <c r="E46" s="95">
        <f>'DOE25'!H47</f>
        <v>49217</v>
      </c>
      <c r="F46" s="95">
        <f>'DOE25'!I47</f>
        <v>0</v>
      </c>
      <c r="G46" s="95">
        <f>'DOE25'!J47</f>
        <v>88473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350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55152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144364</v>
      </c>
      <c r="D49" s="41">
        <f>SUM(D34:D48)</f>
        <v>-17271</v>
      </c>
      <c r="E49" s="41">
        <f>SUM(E34:E48)</f>
        <v>49217</v>
      </c>
      <c r="F49" s="41">
        <f>SUM(F34:F48)</f>
        <v>0</v>
      </c>
      <c r="G49" s="41">
        <f>SUM(G34:G48)</f>
        <v>88473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143922</v>
      </c>
      <c r="D50" s="41">
        <f>D49+D31</f>
        <v>27887</v>
      </c>
      <c r="E50" s="41">
        <f>E49+E31</f>
        <v>50220</v>
      </c>
      <c r="F50" s="41">
        <f>F49+F31</f>
        <v>0</v>
      </c>
      <c r="G50" s="41">
        <f>G49+G31</f>
        <v>88473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2179669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31444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804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23442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14875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15679</v>
      </c>
      <c r="D61" s="130">
        <f>SUM(D56:D60)</f>
        <v>23442</v>
      </c>
      <c r="E61" s="130">
        <f>SUM(E56:E60)</f>
        <v>31444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2195348</v>
      </c>
      <c r="D62" s="22">
        <f>D55+D61</f>
        <v>23442</v>
      </c>
      <c r="E62" s="22">
        <f>E55+E61</f>
        <v>31444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742953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431295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1174248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17627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17627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1191875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17091</v>
      </c>
      <c r="D87" s="95">
        <f>SUM('DOE25'!G152:G160)</f>
        <v>10940</v>
      </c>
      <c r="E87" s="95">
        <f>SUM('DOE25'!H152:H160)</f>
        <v>24586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17091</v>
      </c>
      <c r="D90" s="131">
        <f>SUM(D84:D89)</f>
        <v>10940</v>
      </c>
      <c r="E90" s="131">
        <f>SUM(E84:E89)</f>
        <v>24586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24000</v>
      </c>
      <c r="E95" s="95">
        <f>'DOE25'!H178</f>
        <v>3000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23000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23000</v>
      </c>
      <c r="D102" s="86">
        <f>SUM(D92:D101)</f>
        <v>24000</v>
      </c>
      <c r="E102" s="86">
        <f>SUM(E92:E101)</f>
        <v>3000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3427314</v>
      </c>
      <c r="D103" s="86">
        <f>D62+D80+D90+D102</f>
        <v>58382</v>
      </c>
      <c r="E103" s="86">
        <f>E62+E80+E90+E102</f>
        <v>59030</v>
      </c>
      <c r="F103" s="86">
        <f>F62+F80+F90+F102</f>
        <v>0</v>
      </c>
      <c r="G103" s="86">
        <f>G62+G80+G102</f>
        <v>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2075939</v>
      </c>
      <c r="D108" s="24" t="s">
        <v>289</v>
      </c>
      <c r="E108" s="95">
        <f>('DOE25'!L275)+('DOE25'!L294)+('DOE25'!L313)</f>
        <v>12408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395262</v>
      </c>
      <c r="D109" s="24" t="s">
        <v>289</v>
      </c>
      <c r="E109" s="95">
        <f>('DOE25'!L276)+('DOE25'!L295)+('DOE25'!L314)</f>
        <v>8406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6866</v>
      </c>
      <c r="D111" s="24" t="s">
        <v>289</v>
      </c>
      <c r="E111" s="95">
        <f>+('DOE25'!L278)+('DOE25'!L297)+('DOE25'!L316)</f>
        <v>27570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2478067</v>
      </c>
      <c r="D114" s="86">
        <f>SUM(D108:D113)</f>
        <v>0</v>
      </c>
      <c r="E114" s="86">
        <f>SUM(E108:E113)</f>
        <v>48384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77147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63243</v>
      </c>
      <c r="D118" s="24" t="s">
        <v>289</v>
      </c>
      <c r="E118" s="95">
        <f>+('DOE25'!L281)+('DOE25'!L300)+('DOE25'!L319)</f>
        <v>13831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177199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167526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1104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250164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155441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65093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890720</v>
      </c>
      <c r="D127" s="86">
        <f>SUM(D117:D126)</f>
        <v>65093</v>
      </c>
      <c r="E127" s="86">
        <f>SUM(E117:E126)</f>
        <v>14935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51071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11489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39786</v>
      </c>
    </row>
    <row r="134" spans="1:7" x14ac:dyDescent="0.2">
      <c r="A134" t="s">
        <v>233</v>
      </c>
      <c r="B134" s="32" t="s">
        <v>234</v>
      </c>
      <c r="C134" s="95">
        <f>'DOE25'!L262</f>
        <v>24000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3000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89560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39786</v>
      </c>
    </row>
    <row r="144" spans="1:7" ht="12.75" thickTop="1" thickBot="1" x14ac:dyDescent="0.25">
      <c r="A144" s="33" t="s">
        <v>244</v>
      </c>
      <c r="C144" s="86">
        <f>(C114+C127+C143)</f>
        <v>3458347</v>
      </c>
      <c r="D144" s="86">
        <f>(D114+D127+D143)</f>
        <v>65093</v>
      </c>
      <c r="E144" s="86">
        <f>(E114+E127+E143)</f>
        <v>63319</v>
      </c>
      <c r="F144" s="86">
        <f>(F114+F127+F143)</f>
        <v>0</v>
      </c>
      <c r="G144" s="86">
        <f>(G114+G127+G143)</f>
        <v>39786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9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07/15/11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07/15/19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460000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0.03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408888.89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408888.89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357777.78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357777.78</v>
      </c>
    </row>
    <row r="159" spans="1:9" x14ac:dyDescent="0.2">
      <c r="A159" s="22" t="s">
        <v>36</v>
      </c>
      <c r="B159" s="137">
        <f>'DOE25'!F498</f>
        <v>42806.96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42806.96</v>
      </c>
    </row>
    <row r="160" spans="1:9" x14ac:dyDescent="0.2">
      <c r="A160" s="22" t="s">
        <v>37</v>
      </c>
      <c r="B160" s="137">
        <f>'DOE25'!F499</f>
        <v>400584.74000000005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400584.74000000005</v>
      </c>
    </row>
    <row r="161" spans="1:7" x14ac:dyDescent="0.2">
      <c r="A161" s="22" t="s">
        <v>38</v>
      </c>
      <c r="B161" s="137">
        <f>'DOE25'!F500</f>
        <v>51111.11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51111.11</v>
      </c>
    </row>
    <row r="162" spans="1:7" x14ac:dyDescent="0.2">
      <c r="A162" s="22" t="s">
        <v>39</v>
      </c>
      <c r="B162" s="137">
        <f>'DOE25'!F501</f>
        <v>10697.56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10697.56</v>
      </c>
    </row>
    <row r="163" spans="1:7" x14ac:dyDescent="0.2">
      <c r="A163" s="22" t="s">
        <v>246</v>
      </c>
      <c r="B163" s="137">
        <f>'DOE25'!F502</f>
        <v>61808.67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61808.67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Cornish Elementary School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18959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18959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2088347</v>
      </c>
      <c r="D10" s="182">
        <f>ROUND((C10/$C$28)*100,1)</f>
        <v>59.9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403668</v>
      </c>
      <c r="D11" s="182">
        <f>ROUND((C11/$C$28)*100,1)</f>
        <v>11.6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34436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77147</v>
      </c>
      <c r="D15" s="182">
        <f t="shared" ref="D15:D27" si="0">ROUND((C15/$C$28)*100,1)</f>
        <v>2.2000000000000002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77074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177199</v>
      </c>
      <c r="D17" s="182">
        <f t="shared" si="0"/>
        <v>5.0999999999999996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167526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1104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250164</v>
      </c>
      <c r="D20" s="182">
        <f t="shared" si="0"/>
        <v>7.2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155441</v>
      </c>
      <c r="D21" s="182">
        <f t="shared" si="0"/>
        <v>4.5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11489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41651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3485246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3485246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51071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2179669</v>
      </c>
      <c r="D35" s="182">
        <f t="shared" ref="D35:D40" si="1">ROUND((C35/$C$41)*100,1)</f>
        <v>62.8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47123</v>
      </c>
      <c r="D36" s="182">
        <f t="shared" si="1"/>
        <v>1.4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1174248</v>
      </c>
      <c r="D37" s="182">
        <f t="shared" si="1"/>
        <v>33.799999999999997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17627</v>
      </c>
      <c r="D38" s="182">
        <f t="shared" si="1"/>
        <v>0.5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52617</v>
      </c>
      <c r="D39" s="182">
        <f t="shared" si="1"/>
        <v>1.5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3471284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B55" sqref="B5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Cornish Elementary School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2013-09-10T19:36:54Z</cp:lastPrinted>
  <dcterms:created xsi:type="dcterms:W3CDTF">1997-12-04T19:04:30Z</dcterms:created>
  <dcterms:modified xsi:type="dcterms:W3CDTF">2013-11-25T18:31:14Z</dcterms:modified>
</cp:coreProperties>
</file>