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6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F663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E33" i="13" s="1"/>
  <c r="D35" i="13" s="1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H33" i="13"/>
  <c r="E144" i="2" l="1"/>
  <c r="C16" i="13"/>
  <c r="F671" i="1"/>
  <c r="C4" i="10" s="1"/>
  <c r="F666" i="1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I659" i="1" l="1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<sst xmlns="http://schemas.openxmlformats.org/spreadsheetml/2006/main" count="3946" uniqueCount="912">
  <si>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</si>
  <si>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</si>
  <si>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</si>
  <si>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</si>
  <si>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</si>
  <si>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</si>
  <si>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</si>
  <si>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</si>
  <si>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</si>
  <si>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</si>
  <si>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</si>
  <si>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</si>
  <si>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</si>
  <si>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</si>
  <si>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</si>
  <si>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</si>
  <si>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</si>
  <si>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</si>
  <si>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</si>
  <si>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</si>
  <si>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</si>
  <si>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</si>
  <si>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</si>
  <si>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</si>
  <si>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</si>
  <si>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</si>
  <si>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</si>
  <si>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</si>
  <si>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</si>
  <si>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</si>
  <si>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</si>
  <si>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</si>
  <si>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</si>
  <si>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</si>
  <si>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</si>
  <si>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</si>
  <si>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</si>
  <si>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</si>
  <si>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</si>
  <si>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</si>
  <si>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</si>
  <si>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</si>
  <si>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</si>
  <si>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</si>
  <si>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</si>
  <si>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</si>
  <si>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</si>
  <si>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</si>
  <si>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</si>
  <si>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</si>
  <si>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</si>
  <si>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</si>
  <si>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</si>
  <si>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</si>
  <si>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</si>
  <si>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</si>
  <si>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</si>
  <si>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</si>
  <si>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</si>
  <si>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</si>
  <si>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</si>
  <si>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</si>
  <si>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</si>
  <si>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</si>
  <si>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</si>
  <si>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</si>
  <si>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</si>
  <si>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</si>
  <si>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</si>
  <si>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</si>
  <si>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</si>
  <si>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</si>
  <si>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</si>
  <si>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</si>
  <si>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</si>
  <si>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</si>
  <si>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</si>
  <si>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</si>
  <si>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</si>
  <si>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</si>
  <si>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</si>
  <si>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</si>
  <si>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</si>
  <si>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</si>
  <si>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</si>
  <si>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</si>
  <si>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</si>
  <si>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</si>
  <si>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</si>
  <si>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</si>
  <si>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</si>
  <si>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</si>
  <si>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</si>
  <si>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</si>
  <si>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</si>
  <si>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</si>
  <si>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</si>
  <si>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</si>
  <si>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</si>
  <si>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</si>
  <si>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</si>
  <si>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</si>
  <si>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</si>
  <si>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</si>
  <si>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</si>
  <si>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</si>
  <si>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</si>
  <si>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</si>
  <si>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</si>
  <si>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</si>
  <si>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</si>
  <si>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</si>
  <si>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</si>
  <si>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</si>
  <si>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</si>
  <si>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</si>
  <si>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</si>
  <si>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</si>
  <si>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</si>
  <si>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</si>
  <si>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</si>
  <si>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</si>
  <si>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</si>
  <si>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</si>
  <si>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</si>
  <si>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</si>
  <si>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</si>
  <si>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</si>
  <si>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</si>
  <si>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</si>
  <si>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</si>
  <si>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</si>
  <si>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</si>
  <si>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</si>
  <si>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</si>
  <si>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</si>
  <si>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</si>
  <si>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</si>
  <si>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</si>
  <si>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</si>
  <si>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</si>
  <si>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</si>
  <si>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</si>
  <si>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</si>
  <si>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</si>
  <si>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</si>
  <si>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</si>
  <si>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</si>
  <si>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</si>
  <si>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</si>
  <si>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</si>
  <si>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</si>
  <si>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</si>
  <si>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</si>
  <si>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</si>
  <si>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</si>
  <si>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</si>
  <si>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</si>
  <si>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</si>
  <si>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</si>
  <si>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</si>
  <si>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</si>
  <si>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</si>
  <si>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</si>
  <si>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</si>
  <si>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</si>
  <si>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</si>
  <si>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</si>
  <si>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</si>
  <si>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</si>
  <si>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</si>
  <si>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</si>
  <si>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</si>
  <si>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</si>
  <si>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</si>
  <si>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</si>
  <si>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</si>
  <si>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</si>
  <si>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</si>
  <si>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</si>
  <si>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</si>
  <si>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</si>
  <si>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</si>
  <si>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</si>
  <si>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</si>
  <si>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</si>
  <si>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</si>
  <si>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</si>
  <si>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</si>
  <si>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</si>
  <si>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</si>
  <si>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</si>
  <si>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</si>
  <si>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</si>
  <si>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</si>
  <si>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</si>
  <si>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</si>
  <si>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</si>
  <si>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</si>
  <si>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</si>
  <si>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</si>
  <si>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</si>
  <si>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</si>
  <si>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</si>
  <si>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</si>
  <si>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</si>
  <si>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</si>
  <si>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</si>
  <si>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</si>
  <si>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</si>
  <si>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</si>
  <si>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</si>
  <si>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</si>
  <si>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</si>
  <si>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</si>
  <si>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</si>
  <si>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</si>
  <si>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</si>
  <si>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</si>
  <si>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</si>
  <si>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</si>
  <si>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</si>
  <si>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</si>
  <si>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</si>
  <si>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</si>
  <si>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</si>
  <si>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</si>
  <si>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</si>
  <si>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</si>
  <si>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</si>
  <si>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</si>
  <si>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</si>
  <si>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</si>
  <si>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</si>
  <si>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</si>
  <si>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</si>
  <si>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</si>
  <si>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</si>
  <si>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</si>
  <si>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</si>
  <si>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</si>
  <si>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</si>
  <si>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</si>
  <si>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</si>
  <si>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</si>
  <si>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</si>
  <si>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</si>
  <si>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</si>
  <si>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</si>
  <si>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</si>
  <si>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</si>
  <si>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</si>
  <si>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</si>
  <si>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</si>
  <si>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</si>
  <si>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</si>
  <si>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</si>
  <si>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</si>
  <si>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</si>
  <si>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</si>
  <si>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</si>
  <si>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</si>
  <si>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</si>
  <si>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</si>
  <si>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</si>
  <si>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</si>
  <si>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</si>
  <si>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</si>
  <si>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</si>
  <si>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</si>
  <si>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</si>
  <si>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</si>
  <si>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</si>
  <si>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</si>
  <si>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</si>
  <si>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</si>
  <si>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</si>
  <si>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</si>
  <si>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</si>
  <si>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</si>
  <si>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</si>
  <si>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</si>
  <si>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</si>
  <si>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</si>
  <si>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</si>
  <si>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</si>
  <si>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</si>
  <si>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</si>
  <si>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</si>
  <si>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</si>
  <si>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</si>
  <si>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</si>
  <si>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</si>
  <si>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</si>
  <si>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</si>
  <si>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</si>
  <si>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</si>
  <si>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</si>
  <si>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</si>
  <si>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</si>
  <si>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</si>
  <si>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</si>
  <si>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</si>
  <si>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</si>
  <si>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</si>
  <si>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</si>
  <si>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</si>
  <si>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</si>
  <si>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</si>
  <si>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</si>
  <si>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</si>
  <si>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</si>
  <si>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</si>
  <si>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</si>
  <si>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</si>
  <si>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</si>
  <si>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</si>
  <si>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</si>
  <si>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</si>
  <si>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</si>
  <si>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</si>
  <si>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</si>
  <si>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</si>
  <si>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</si>
  <si>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</si>
  <si>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</si>
  <si>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</si>
  <si>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</si>
  <si>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</si>
  <si>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</si>
  <si>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</si>
  <si>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</si>
  <si>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</si>
  <si>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</si>
  <si>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</si>
  <si>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</si>
  <si>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</si>
  <si>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</si>
  <si>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</si>
  <si>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</si>
  <si>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</si>
  <si>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</si>
  <si>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</si>
  <si>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</si>
  <si>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</si>
  <si>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</si>
  <si>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</si>
  <si>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</si>
  <si>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</si>
  <si>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</si>
  <si>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</si>
  <si>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</si>
  <si>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</si>
  <si>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</si>
  <si>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</si>
  <si>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</si>
  <si>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</si>
  <si>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</si>
  <si>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</si>
  <si>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</si>
  <si>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</si>
  <si>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</si>
  <si>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</si>
  <si>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</si>
  <si>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</si>
  <si>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</si>
  <si>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</si>
  <si>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</si>
  <si>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</si>
  <si>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</si>
  <si>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</si>
  <si>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</si>
  <si>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</si>
  <si>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</si>
  <si>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</si>
  <si>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</si>
  <si>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</si>
  <si>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</si>
  <si>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</si>
  <si>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</si>
  <si>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</si>
  <si>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</si>
  <si>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</si>
  <si>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</si>
  <si>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</si>
  <si>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</si>
  <si>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</si>
  <si>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</si>
  <si>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</si>
  <si>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</si>
  <si>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</si>
  <si>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</si>
  <si>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</si>
  <si>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</si>
  <si>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</si>
  <si>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</si>
  <si>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</si>
  <si>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</si>
  <si>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</si>
  <si>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</si>
  <si>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</si>
  <si>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</si>
  <si>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</si>
  <si>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</si>
  <si>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</si>
  <si>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</si>
  <si>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</si>
  <si>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</si>
  <si>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</si>
  <si>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</si>
  <si>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</si>
  <si>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</si>
  <si>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</si>
  <si>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</si>
  <si>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</si>
  <si>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</si>
  <si>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</si>
  <si>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</si>
  <si>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</si>
  <si>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</si>
  <si>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</si>
  <si>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</si>
  <si>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</si>
  <si>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</si>
  <si>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</si>
  <si>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</si>
  <si>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</si>
  <si>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</si>
  <si>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</si>
  <si>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</si>
  <si>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</si>
  <si>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</si>
  <si>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</si>
  <si>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</si>
  <si>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</si>
  <si>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</si>
  <si>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</si>
  <si>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</si>
  <si>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</si>
  <si>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</si>
  <si>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</si>
  <si>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</si>
  <si>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</si>
  <si>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</si>
  <si>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</si>
  <si>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</si>
  <si>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</si>
  <si>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</si>
  <si>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</si>
  <si>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</si>
  <si>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</si>
  <si>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</si>
  <si>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</si>
  <si>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</si>
  <si>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</si>
  <si>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</si>
  <si>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</si>
  <si>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</si>
  <si>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</si>
  <si>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</si>
  <si>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</si>
  <si>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</si>
  <si>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</si>
  <si>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</si>
  <si>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</si>
  <si>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</si>
  <si>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</si>
  <si>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</si>
  <si>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</si>
  <si>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</si>
  <si>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</si>
  <si>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</si>
  <si>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</si>
  <si>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</si>
  <si>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</si>
  <si>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</si>
  <si>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</si>
  <si>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</si>
  <si>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</si>
  <si>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</si>
  <si>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</si>
  <si>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</si>
  <si>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</si>
  <si>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</si>
  <si>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</si>
  <si>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</si>
  <si>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</si>
  <si>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</si>
  <si>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</si>
  <si>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</si>
  <si>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</si>
  <si>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</si>
  <si>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</si>
  <si>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</si>
  <si>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</si>
  <si>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</si>
  <si>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</si>
  <si>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</si>
  <si>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</si>
  <si>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</si>
  <si>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</si>
  <si>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</si>
  <si>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</si>
  <si>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</si>
  <si>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</si>
  <si>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</si>
  <si>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</si>
  <si>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</si>
  <si>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</si>
  <si>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</si>
  <si>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</si>
  <si>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</si>
  <si>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</si>
  <si>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</si>
  <si>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</si>
  <si>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</si>
  <si>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</si>
  <si>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</si>
  <si>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</si>
  <si>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</si>
  <si>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</si>
  <si>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</si>
  <si>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</si>
  <si>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</si>
  <si>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</si>
  <si>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</si>
  <si>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</si>
  <si>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</si>
  <si>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</si>
  <si>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</si>
  <si>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</si>
  <si>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</si>
  <si>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</si>
  <si>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</si>
  <si>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</si>
  <si>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</si>
  <si>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</si>
  <si>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</si>
  <si>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</si>
  <si>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</si>
  <si>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</si>
  <si>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</si>
  <si>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</si>
  <si>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</si>
  <si>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</si>
  <si>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</si>
  <si>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</si>
  <si>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</si>
  <si>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</si>
  <si>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</si>
  <si>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</si>
  <si>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</si>
  <si>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</si>
  <si>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</si>
  <si>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</si>
  <si>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</si>
  <si>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</si>
  <si>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</si>
  <si>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</si>
  <si>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</si>
  <si>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</si>
  <si>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</si>
  <si>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</si>
  <si>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</si>
  <si>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</si>
  <si>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</si>
  <si>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</si>
  <si>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</si>
  <si>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</si>
  <si>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</si>
  <si>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</si>
  <si>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</si>
  <si>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</si>
  <si>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</si>
  <si>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</si>
  <si>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</si>
  <si>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</si>
  <si>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</si>
  <si>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</si>
  <si>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</si>
  <si>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</si>
  <si>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</si>
  <si>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</si>
  <si>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</si>
  <si>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</si>
  <si>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</si>
  <si>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</si>
  <si>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</si>
  <si>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</si>
  <si>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</si>
  <si>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</si>
  <si>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</si>
  <si>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</si>
  <si>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</si>
  <si>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</si>
  <si>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</si>
  <si>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</si>
  <si>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</si>
  <si>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</si>
  <si>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</si>
  <si>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</si>
  <si>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</si>
  <si>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</si>
  <si>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</si>
  <si>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</si>
  <si>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</si>
  <si>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</si>
  <si>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</si>
  <si>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</si>
  <si>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</si>
  <si>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</si>
  <si>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</si>
  <si>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</si>
  <si>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</si>
  <si>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</si>
  <si>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</si>
  <si>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</si>
  <si>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</si>
  <si>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</si>
  <si>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</si>
  <si>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</si>
  <si>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</si>
  <si>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</si>
  <si>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</si>
  <si>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</si>
  <si>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</si>
  <si>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</si>
  <si>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</si>
  <si>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</si>
  <si>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</si>
  <si>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</si>
  <si>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</si>
  <si>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</si>
  <si>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</si>
  <si>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</si>
  <si>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</si>
  <si>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</si>
  <si>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</si>
  <si>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</si>
  <si>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</si>
  <si>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</si>
  <si>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</si>
  <si>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</si>
  <si>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</si>
  <si>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</si>
  <si>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</si>
  <si>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</si>
  <si>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</si>
  <si>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</si>
  <si>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</si>
  <si>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</si>
  <si>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</si>
  <si>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</si>
  <si>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</si>
  <si>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</si>
  <si>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</si>
  <si>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</si>
  <si>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</si>
  <si>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</si>
  <si>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</si>
  <si>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</si>
  <si>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</si>
  <si>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</si>
  <si>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</si>
  <si>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</si>
  <si>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</si>
  <si>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</si>
  <si>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</si>
  <si>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</si>
  <si>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</si>
  <si>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</si>
  <si>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</si>
  <si>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</si>
  <si>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</si>
  <si>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</si>
  <si>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</si>
  <si>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</si>
  <si>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</si>
  <si>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</si>
  <si>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</si>
  <si>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</si>
  <si>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</si>
  <si>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</si>
  <si>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</si>
  <si>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</si>
  <si>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</si>
  <si>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</si>
  <si>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</si>
  <si>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</si>
  <si>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</si>
  <si>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</si>
  <si>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</si>
  <si>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</si>
  <si>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</si>
  <si>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</si>
  <si>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</si>
  <si>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</si>
  <si>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</si>
  <si>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</si>
  <si>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</si>
  <si>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</si>
  <si>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</si>
  <si>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</si>
  <si>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</si>
  <si>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</si>
  <si>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</si>
  <si>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</si>
  <si>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</si>
  <si>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</si>
  <si>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</si>
  <si>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</si>
  <si>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</si>
  <si>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</si>
  <si>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</si>
  <si>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</si>
  <si>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</si>
  <si>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</si>
  <si>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</si>
  <si>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</si>
  <si>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</si>
  <si>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</si>
  <si>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</si>
  <si>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</si>
  <si>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</si>
  <si>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</si>
  <si>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</si>
  <si>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</si>
  <si>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</si>
  <si>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</si>
  <si>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</si>
  <si>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</si>
  <si>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</si>
  <si>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</si>
  <si>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</si>
  <si>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</si>
  <si>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</si>
  <si>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</si>
  <si>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</si>
  <si>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</si>
  <si>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</si>
  <si>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</si>
  <si>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</si>
  <si>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</si>
  <si>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</si>
  <si>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</si>
  <si>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</si>
  <si>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</si>
  <si>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</si>
  <si>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</si>
  <si>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</si>
  <si>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</si>
  <si>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</si>
  <si>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</si>
  <si>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</si>
  <si>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</si>
  <si>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</si>
  <si>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</si>
  <si>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</si>
  <si>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</si>
  <si>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</si>
  <si>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</si>
  <si>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</si>
  <si>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</si>
  <si>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</si>
  <si>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</si>
  <si>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</si>
  <si>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</si>
  <si>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</si>
  <si>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</si>
  <si>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</si>
  <si>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</si>
  <si>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</si>
  <si>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</si>
  <si>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</si>
  <si>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</si>
  <si>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</si>
  <si>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</si>
  <si>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</si>
  <si>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</si>
  <si>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</si>
  <si>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</si>
  <si>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</si>
  <si>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</si>
  <si>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</si>
  <si>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</si>
  <si>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</si>
  <si>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</si>
  <si>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</si>
  <si>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</si>
  <si>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</si>
  <si>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</si>
  <si>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</si>
  <si>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</si>
  <si>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</si>
  <si>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</si>
  <si>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</si>
  <si>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</si>
  <si>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</si>
  <si>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</si>
  <si>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</si>
  <si>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</si>
  <si>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</si>
  <si>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</si>
  <si>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</si>
  <si>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</si>
  <si>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</si>
  <si>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</si>
  <si>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</si>
  <si>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</si>
  <si>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</si>
  <si>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</si>
  <si>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</si>
  <si>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</si>
  <si>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</si>
  <si>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</si>
  <si>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</si>
  <si>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</si>
  <si>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</si>
  <si>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</si>
  <si>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</si>
  <si>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</si>
  <si>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</si>
  <si>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</si>
  <si>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</si>
  <si>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</si>
  <si>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</si>
  <si>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</si>
  <si>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</si>
  <si>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</si>
  <si>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</si>
  <si>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</si>
  <si>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</si>
  <si>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</si>
  <si>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</si>
  <si>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</si>
  <si>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</si>
  <si>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</si>
  <si>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</si>
  <si>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</si>
  <si>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</si>
  <si>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</si>
  <si>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</si>
  <si>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</si>
  <si>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</si>
  <si>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</si>
  <si>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</si>
  <si>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</si>
  <si>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</si>
  <si>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</si>
  <si>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</si>
  <si>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</si>
  <si>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</si>
  <si>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</si>
  <si>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</si>
  <si>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</si>
  <si>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</si>
  <si>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</si>
  <si>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</si>
  <si>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</si>
  <si>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</si>
  <si>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</si>
  <si>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</si>
  <si>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</si>
  <si>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</si>
  <si>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</si>
  <si>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</si>
  <si>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</si>
  <si>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</si>
  <si>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</si>
  <si>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</si>
  <si>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</si>
  <si>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</si>
  <si>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</si>
  <si>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</si>
  <si>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</si>
  <si>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</si>
  <si>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</si>
  <si>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</si>
  <si>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</si>
  <si>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</si>
  <si>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</si>
  <si>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</si>
  <si>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</si>
  <si>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</si>
  <si>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</si>
  <si>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</si>
  <si>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</si>
  <si>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</si>
  <si>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</si>
  <si>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</si>
  <si>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</si>
  <si>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</si>
  <si>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</si>
  <si>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</si>
  <si>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</si>
  <si>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</si>
  <si>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</si>
  <si>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</si>
  <si>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</si>
  <si>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</si>
  <si>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</si>
  <si>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</si>
  <si>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</si>
  <si>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</si>
  <si>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</si>
  <si>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</si>
  <si>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</si>
  <si>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</si>
  <si>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</si>
  <si>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CROYDON</t>
  </si>
  <si>
    <t>Interest</t>
  </si>
  <si>
    <t>Other Deletions  $ 40,096.90 due to Newport from Special Edcuation Trust Fund in late August.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</si>
</sst>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75" workbookViewId="0">
      <pane xSplit="5" ySplit="3" topLeftCell="F396" activePane="bottomRight" state="frozen"/>
      <selection pane="topRight" activeCell="F1" sqref="F1"/>
      <selection pane="bottomLeft" activeCell="A4" sqref="A4"/>
      <selection pane="bottomRight" activeCell="H422" sqref="H42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117</v>
      </c>
      <c r="C2" s="21">
        <v>117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221406.47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189019.86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4909.67</v>
      </c>
      <c r="G12" s="18"/>
      <c r="H12" s="18"/>
      <c r="I12" s="18">
        <v>-4910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179010.9</v>
      </c>
      <c r="G13" s="18"/>
      <c r="H13" s="18"/>
      <c r="I13" s="18">
        <v>4910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405337.04000000004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189019.86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373532.2</v>
      </c>
      <c r="G23" s="18"/>
      <c r="H23" s="18"/>
      <c r="I23" s="18"/>
      <c r="J23" s="67">
        <f>SUM(I448)</f>
        <v>40086.9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31804.84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405337.04000000004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40086.9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148932.96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148932.96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405337.04000000004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189019.86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729239-230181</f>
        <v>499058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138924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637982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16.53</v>
      </c>
      <c r="G95" s="18"/>
      <c r="H95" s="18"/>
      <c r="I95" s="18"/>
      <c r="J95" s="18">
        <v>1429.75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449.35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465.88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1429.75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638447.88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1429.75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341633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230181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571814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213.59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213.59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572027.59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9645.59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11183.31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6046.53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6997.5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6997.5</v>
      </c>
      <c r="G161" s="41">
        <f>SUM(G149:G160)</f>
        <v>0</v>
      </c>
      <c r="H161" s="41">
        <f>SUM(H149:H160)</f>
        <v>26875.43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6997.5</v>
      </c>
      <c r="G168" s="41">
        <f>G146+G161+SUM(G162:G167)</f>
        <v>0</v>
      </c>
      <c r="H168" s="41">
        <f>H146+H161+SUM(H162:H167)</f>
        <v>26875.43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115349.64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115349.64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115349.64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1332822.6099999999</v>
      </c>
      <c r="G192" s="47">
        <f>G111+G139+G168+G191</f>
        <v>0</v>
      </c>
      <c r="H192" s="47">
        <f>H111+H139+H168+H191</f>
        <v>26875.43</v>
      </c>
      <c r="I192" s="47">
        <f>I111+I139+I168+I191</f>
        <v>0</v>
      </c>
      <c r="J192" s="47">
        <f>J111+J139+J191</f>
        <v>1429.75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82940</v>
      </c>
      <c r="G196" s="18">
        <v>34927</v>
      </c>
      <c r="H196" s="18">
        <v>223654</v>
      </c>
      <c r="I196" s="18">
        <v>252</v>
      </c>
      <c r="J196" s="18"/>
      <c r="K196" s="18"/>
      <c r="L196" s="19">
        <f>SUM(F196:K196)</f>
        <v>341773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30439</v>
      </c>
      <c r="G197" s="18">
        <v>6560</v>
      </c>
      <c r="H197" s="18">
        <v>14577</v>
      </c>
      <c r="I197" s="18"/>
      <c r="J197" s="18"/>
      <c r="K197" s="18"/>
      <c r="L197" s="19">
        <f>SUM(F197:K197)</f>
        <v>51576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250</v>
      </c>
      <c r="G201" s="18">
        <v>149</v>
      </c>
      <c r="H201" s="18"/>
      <c r="I201" s="18"/>
      <c r="J201" s="18"/>
      <c r="K201" s="18"/>
      <c r="L201" s="19">
        <f t="shared" ref="L201:L207" si="0">SUM(F201:K201)</f>
        <v>399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343</v>
      </c>
      <c r="G203" s="18">
        <v>20</v>
      </c>
      <c r="H203" s="18">
        <v>43888</v>
      </c>
      <c r="I203" s="18"/>
      <c r="J203" s="18"/>
      <c r="K203" s="18"/>
      <c r="L203" s="19">
        <f t="shared" si="0"/>
        <v>44251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4927</v>
      </c>
      <c r="G206" s="18">
        <v>517</v>
      </c>
      <c r="H206" s="18">
        <v>9879</v>
      </c>
      <c r="I206" s="18">
        <v>7742</v>
      </c>
      <c r="J206" s="18"/>
      <c r="K206" s="18"/>
      <c r="L206" s="19">
        <f t="shared" si="0"/>
        <v>23065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7919</v>
      </c>
      <c r="G207" s="18">
        <v>1017</v>
      </c>
      <c r="H207" s="18">
        <v>3840</v>
      </c>
      <c r="I207" s="18">
        <v>5004</v>
      </c>
      <c r="J207" s="18"/>
      <c r="K207" s="18">
        <v>4707</v>
      </c>
      <c r="L207" s="19">
        <f t="shared" si="0"/>
        <v>22487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4350</v>
      </c>
      <c r="G208" s="18">
        <v>357</v>
      </c>
      <c r="H208" s="18"/>
      <c r="I208" s="18"/>
      <c r="J208" s="18"/>
      <c r="K208" s="18"/>
      <c r="L208" s="19">
        <f>SUM(F208:K208)</f>
        <v>4707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131168</v>
      </c>
      <c r="G210" s="41">
        <f t="shared" si="1"/>
        <v>43547</v>
      </c>
      <c r="H210" s="41">
        <f t="shared" si="1"/>
        <v>295838</v>
      </c>
      <c r="I210" s="41">
        <f t="shared" si="1"/>
        <v>12998</v>
      </c>
      <c r="J210" s="41">
        <f t="shared" si="1"/>
        <v>0</v>
      </c>
      <c r="K210" s="41">
        <f t="shared" si="1"/>
        <v>4707</v>
      </c>
      <c r="L210" s="41">
        <f t="shared" si="1"/>
        <v>488258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210860</v>
      </c>
      <c r="I214" s="18"/>
      <c r="J214" s="18"/>
      <c r="K214" s="18"/>
      <c r="L214" s="19">
        <f>SUM(F214:K214)</f>
        <v>210860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68</v>
      </c>
      <c r="G221" s="18">
        <v>6</v>
      </c>
      <c r="H221" s="18">
        <v>12191</v>
      </c>
      <c r="I221" s="18"/>
      <c r="J221" s="18"/>
      <c r="K221" s="18"/>
      <c r="L221" s="19">
        <f t="shared" si="2"/>
        <v>12265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2200</v>
      </c>
      <c r="G225" s="18">
        <v>282</v>
      </c>
      <c r="H225" s="18">
        <v>1067</v>
      </c>
      <c r="I225" s="18">
        <v>1390</v>
      </c>
      <c r="J225" s="18"/>
      <c r="K225" s="18"/>
      <c r="L225" s="19">
        <f t="shared" si="2"/>
        <v>4939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2268</v>
      </c>
      <c r="G228" s="41">
        <f>SUM(G214:G227)</f>
        <v>288</v>
      </c>
      <c r="H228" s="41">
        <f>SUM(H214:H227)</f>
        <v>224118</v>
      </c>
      <c r="I228" s="41">
        <f>SUM(I214:I227)</f>
        <v>1390</v>
      </c>
      <c r="J228" s="41">
        <f>SUM(J214:J227)</f>
        <v>0</v>
      </c>
      <c r="K228" s="41">
        <f t="shared" si="3"/>
        <v>0</v>
      </c>
      <c r="L228" s="41">
        <f t="shared" si="3"/>
        <v>228064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418729.61</v>
      </c>
      <c r="I232" s="18"/>
      <c r="J232" s="18"/>
      <c r="K232" s="18"/>
      <c r="L232" s="19">
        <f>SUM(F232:K232)</f>
        <v>418729.61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131134</v>
      </c>
      <c r="I233" s="18"/>
      <c r="J233" s="18"/>
      <c r="K233" s="18"/>
      <c r="L233" s="19">
        <f>SUM(F233:K233)</f>
        <v>131134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139</v>
      </c>
      <c r="G239" s="18">
        <v>11</v>
      </c>
      <c r="H239" s="18">
        <v>25195</v>
      </c>
      <c r="I239" s="18"/>
      <c r="J239" s="18"/>
      <c r="K239" s="18"/>
      <c r="L239" s="19">
        <f t="shared" si="4"/>
        <v>25345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4546</v>
      </c>
      <c r="G243" s="18">
        <v>584</v>
      </c>
      <c r="H243" s="18">
        <v>33290</v>
      </c>
      <c r="I243" s="18">
        <v>2872</v>
      </c>
      <c r="J243" s="18"/>
      <c r="K243" s="18"/>
      <c r="L243" s="19">
        <f t="shared" si="4"/>
        <v>41292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4685</v>
      </c>
      <c r="G246" s="41">
        <f t="shared" si="5"/>
        <v>595</v>
      </c>
      <c r="H246" s="41">
        <f t="shared" si="5"/>
        <v>608348.61</v>
      </c>
      <c r="I246" s="41">
        <f t="shared" si="5"/>
        <v>2872</v>
      </c>
      <c r="J246" s="41">
        <f t="shared" si="5"/>
        <v>0</v>
      </c>
      <c r="K246" s="41">
        <f t="shared" si="5"/>
        <v>0</v>
      </c>
      <c r="L246" s="41">
        <f t="shared" si="5"/>
        <v>616500.61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138121</v>
      </c>
      <c r="G256" s="41">
        <f t="shared" si="8"/>
        <v>44430</v>
      </c>
      <c r="H256" s="41">
        <f t="shared" si="8"/>
        <v>1128304.6099999999</v>
      </c>
      <c r="I256" s="41">
        <f t="shared" si="8"/>
        <v>17260</v>
      </c>
      <c r="J256" s="41">
        <f t="shared" si="8"/>
        <v>0</v>
      </c>
      <c r="K256" s="41">
        <f t="shared" si="8"/>
        <v>4707</v>
      </c>
      <c r="L256" s="41">
        <f t="shared" si="8"/>
        <v>1332822.6099999999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138121</v>
      </c>
      <c r="G270" s="42">
        <f t="shared" si="11"/>
        <v>44430</v>
      </c>
      <c r="H270" s="42">
        <f t="shared" si="11"/>
        <v>1128304.6099999999</v>
      </c>
      <c r="I270" s="42">
        <f t="shared" si="11"/>
        <v>17260</v>
      </c>
      <c r="J270" s="42">
        <f t="shared" si="11"/>
        <v>0</v>
      </c>
      <c r="K270" s="42">
        <f t="shared" si="11"/>
        <v>4707</v>
      </c>
      <c r="L270" s="42">
        <f t="shared" si="11"/>
        <v>1332822.6099999999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9645.59</v>
      </c>
      <c r="I275" s="18"/>
      <c r="J275" s="18"/>
      <c r="K275" s="18"/>
      <c r="L275" s="19">
        <f>SUM(F275:K275)</f>
        <v>9645.59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6046.53</v>
      </c>
      <c r="I276" s="18"/>
      <c r="J276" s="18"/>
      <c r="K276" s="18"/>
      <c r="L276" s="19">
        <f>SUM(F276:K276)</f>
        <v>6046.53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11183.31</v>
      </c>
      <c r="I281" s="18"/>
      <c r="J281" s="18"/>
      <c r="K281" s="18"/>
      <c r="L281" s="19">
        <f t="shared" si="12"/>
        <v>11183.31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26875.43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26875.43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26875.43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26875.43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26875.43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26875.43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91.07</v>
      </c>
      <c r="I388" s="18"/>
      <c r="J388" s="24" t="s">
        <v>289</v>
      </c>
      <c r="K388" s="24" t="s">
        <v>289</v>
      </c>
      <c r="L388" s="56">
        <f t="shared" si="25"/>
        <v>91.07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v>409.85</v>
      </c>
      <c r="I389" s="18"/>
      <c r="J389" s="24" t="s">
        <v>289</v>
      </c>
      <c r="K389" s="24" t="s">
        <v>289</v>
      </c>
      <c r="L389" s="56">
        <f t="shared" si="25"/>
        <v>409.85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500.92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500.92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785.63</v>
      </c>
      <c r="I396" s="18"/>
      <c r="J396" s="24" t="s">
        <v>289</v>
      </c>
      <c r="K396" s="24" t="s">
        <v>289</v>
      </c>
      <c r="L396" s="56">
        <f t="shared" si="26"/>
        <v>785.63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143.19999999999999</v>
      </c>
      <c r="I397" s="18"/>
      <c r="J397" s="24" t="s">
        <v>289</v>
      </c>
      <c r="K397" s="24" t="s">
        <v>289</v>
      </c>
      <c r="L397" s="56">
        <f t="shared" si="26"/>
        <v>143.19999999999999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928.82999999999993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928.82999999999993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1429.75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1429.75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115349.64</v>
      </c>
      <c r="L422" s="56">
        <f t="shared" si="29"/>
        <v>115349.64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115349.64</v>
      </c>
      <c r="L426" s="47">
        <f t="shared" si="30"/>
        <v>115349.64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115349.64</v>
      </c>
      <c r="L433" s="47">
        <f t="shared" si="32"/>
        <v>115349.64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189019.86</v>
      </c>
      <c r="G439" s="18"/>
      <c r="H439" s="18"/>
      <c r="I439" s="56">
        <f t="shared" si="33"/>
        <v>189019.86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189019.86</v>
      </c>
      <c r="G445" s="13">
        <f>SUM(G438:G444)</f>
        <v>0</v>
      </c>
      <c r="H445" s="13">
        <f>SUM(H438:H444)</f>
        <v>0</v>
      </c>
      <c r="I445" s="13">
        <f>SUM(I438:I444)</f>
        <v>189019.86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40086.9</v>
      </c>
      <c r="G448" s="18"/>
      <c r="H448" s="18"/>
      <c r="I448" s="56">
        <f>SUM(F448:H448)</f>
        <v>40086.9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40086.9</v>
      </c>
      <c r="G451" s="72">
        <f>SUM(G447:G450)</f>
        <v>0</v>
      </c>
      <c r="H451" s="72">
        <f>SUM(H447:H450)</f>
        <v>0</v>
      </c>
      <c r="I451" s="72">
        <f>SUM(I447:I450)</f>
        <v>40086.9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148932.96</v>
      </c>
      <c r="G458" s="18"/>
      <c r="H458" s="18"/>
      <c r="I458" s="56">
        <f t="shared" si="34"/>
        <v>148932.96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148932.96</v>
      </c>
      <c r="G459" s="83">
        <f>SUM(G453:G458)</f>
        <v>0</v>
      </c>
      <c r="H459" s="83">
        <f>SUM(H453:H458)</f>
        <v>0</v>
      </c>
      <c r="I459" s="83">
        <f>SUM(I453:I458)</f>
        <v>148932.96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189019.86</v>
      </c>
      <c r="G460" s="42">
        <f>G451+G459</f>
        <v>0</v>
      </c>
      <c r="H460" s="42">
        <f>H451+H459</f>
        <v>0</v>
      </c>
      <c r="I460" s="42">
        <f>I451+I459</f>
        <v>189019.86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/>
      <c r="H464" s="18"/>
      <c r="I464" s="18"/>
      <c r="J464" s="18">
        <v>302939.75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1332822.6100000001</v>
      </c>
      <c r="G467" s="18"/>
      <c r="H467" s="18">
        <v>26875.43</v>
      </c>
      <c r="I467" s="18"/>
      <c r="J467" s="18">
        <v>1429.75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1332822.6100000001</v>
      </c>
      <c r="G469" s="53">
        <f>SUM(G467:G468)</f>
        <v>0</v>
      </c>
      <c r="H469" s="53">
        <f>SUM(H467:H468)</f>
        <v>26875.43</v>
      </c>
      <c r="I469" s="53">
        <f>SUM(I467:I468)</f>
        <v>0</v>
      </c>
      <c r="J469" s="53">
        <f>SUM(J467:J468)</f>
        <v>1429.75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1332822.6100000001</v>
      </c>
      <c r="G471" s="18"/>
      <c r="H471" s="18">
        <v>26875.43</v>
      </c>
      <c r="I471" s="18"/>
      <c r="J471" s="18">
        <v>115349.64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>
        <v>40086.9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1332822.6100000001</v>
      </c>
      <c r="G473" s="53">
        <f>SUM(G471:G472)</f>
        <v>0</v>
      </c>
      <c r="H473" s="53">
        <f>SUM(H471:H472)</f>
        <v>26875.43</v>
      </c>
      <c r="I473" s="53">
        <f>SUM(I471:I472)</f>
        <v>0</v>
      </c>
      <c r="J473" s="53">
        <f>SUM(J471:J472)</f>
        <v>155436.54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148932.96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30439</v>
      </c>
      <c r="G520" s="18">
        <v>6560</v>
      </c>
      <c r="H520" s="18">
        <v>764</v>
      </c>
      <c r="I520" s="18"/>
      <c r="J520" s="18"/>
      <c r="K520" s="18"/>
      <c r="L520" s="88">
        <f>SUM(F520:K520)</f>
        <v>37763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30439</v>
      </c>
      <c r="G523" s="108">
        <f t="shared" ref="G523:L523" si="36">SUM(G520:G522)</f>
        <v>6560</v>
      </c>
      <c r="H523" s="108">
        <f t="shared" si="36"/>
        <v>764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37763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250</v>
      </c>
      <c r="G525" s="18">
        <v>149</v>
      </c>
      <c r="H525" s="18">
        <v>13814</v>
      </c>
      <c r="I525" s="18"/>
      <c r="J525" s="18"/>
      <c r="K525" s="18"/>
      <c r="L525" s="88">
        <f>SUM(F525:K525)</f>
        <v>14213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250</v>
      </c>
      <c r="G528" s="89">
        <f t="shared" ref="G528:L528" si="37">SUM(G525:G527)</f>
        <v>149</v>
      </c>
      <c r="H528" s="89">
        <f t="shared" si="37"/>
        <v>13814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14213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31085</v>
      </c>
      <c r="I542" s="18"/>
      <c r="J542" s="18"/>
      <c r="K542" s="18"/>
      <c r="L542" s="88">
        <f>SUM(F542:K542)</f>
        <v>31085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31085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31085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30689</v>
      </c>
      <c r="G544" s="89">
        <f t="shared" ref="G544:L544" si="41">G523+G528+G533+G538+G543</f>
        <v>6709</v>
      </c>
      <c r="H544" s="89">
        <f t="shared" si="41"/>
        <v>45663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83061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37763</v>
      </c>
      <c r="G548" s="87">
        <f>L525</f>
        <v>14213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51976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31085</v>
      </c>
      <c r="K550" s="87">
        <f>SUM(F550:J550)</f>
        <v>31085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37763</v>
      </c>
      <c r="G551" s="89">
        <f t="shared" si="42"/>
        <v>14213</v>
      </c>
      <c r="H551" s="89">
        <f t="shared" si="42"/>
        <v>0</v>
      </c>
      <c r="I551" s="89">
        <f t="shared" si="42"/>
        <v>0</v>
      </c>
      <c r="J551" s="89">
        <f t="shared" si="42"/>
        <v>31085</v>
      </c>
      <c r="K551" s="89">
        <f t="shared" si="42"/>
        <v>83061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223654</v>
      </c>
      <c r="G574" s="18">
        <v>210860</v>
      </c>
      <c r="H574" s="18">
        <v>413956</v>
      </c>
      <c r="I574" s="87">
        <f>SUM(F574:H574)</f>
        <v>848470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131134</v>
      </c>
      <c r="I578" s="87">
        <f t="shared" si="47"/>
        <v>131134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17780</v>
      </c>
      <c r="I590" s="18">
        <v>4939</v>
      </c>
      <c r="J590" s="18">
        <v>10207</v>
      </c>
      <c r="K590" s="104">
        <f t="shared" ref="K590:K596" si="48">SUM(H590:J590)</f>
        <v>32926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31085</v>
      </c>
      <c r="K591" s="104">
        <f t="shared" si="48"/>
        <v>31085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4707</v>
      </c>
      <c r="I596" s="18"/>
      <c r="J596" s="18"/>
      <c r="K596" s="104">
        <f t="shared" si="48"/>
        <v>4707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22487</v>
      </c>
      <c r="I597" s="108">
        <f>SUM(I590:I596)</f>
        <v>4939</v>
      </c>
      <c r="J597" s="108">
        <f>SUM(J590:J596)</f>
        <v>41292</v>
      </c>
      <c r="K597" s="108">
        <f>SUM(K590:K596)</f>
        <v>68718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405337.04000000004</v>
      </c>
      <c r="H616" s="109">
        <f>SUM(F51)</f>
        <v>405337.04000000004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189019.86</v>
      </c>
      <c r="H620" s="109">
        <f>SUM(J51)</f>
        <v>189019.86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148932.96</v>
      </c>
      <c r="H625" s="109">
        <f>J475</f>
        <v>148932.96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1332822.6099999999</v>
      </c>
      <c r="H626" s="104">
        <f>SUM(F467)</f>
        <v>1332822.6100000001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26875.43</v>
      </c>
      <c r="H628" s="104">
        <f>SUM(H467)</f>
        <v>26875.43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1429.75</v>
      </c>
      <c r="H630" s="104">
        <f>SUM(J467)</f>
        <v>1429.75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1332822.6099999999</v>
      </c>
      <c r="H631" s="104">
        <f>SUM(F471)</f>
        <v>1332822.6100000001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26875.43</v>
      </c>
      <c r="H632" s="104">
        <f>SUM(H471)</f>
        <v>26875.43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1429.75</v>
      </c>
      <c r="H636" s="164">
        <f>SUM(J467)</f>
        <v>1429.75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115349.64</v>
      </c>
      <c r="H637" s="164">
        <f>SUM(J471)</f>
        <v>115349.64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189019.86</v>
      </c>
      <c r="H638" s="104">
        <f>SUM(F460)</f>
        <v>189019.86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189019.86</v>
      </c>
      <c r="H641" s="104">
        <f>SUM(I460)</f>
        <v>189019.86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1429.75</v>
      </c>
      <c r="H643" s="104">
        <f>H407</f>
        <v>1429.75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1429.75</v>
      </c>
      <c r="H645" s="104">
        <f>L407</f>
        <v>1429.75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68718</v>
      </c>
      <c r="H646" s="104">
        <f>L207+L225+L243</f>
        <v>68718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22487</v>
      </c>
      <c r="H648" s="104">
        <f>H597</f>
        <v>22487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4939</v>
      </c>
      <c r="H649" s="104">
        <f>I597</f>
        <v>4939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41292</v>
      </c>
      <c r="H650" s="104">
        <f>J597</f>
        <v>41292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515133.43</v>
      </c>
      <c r="G659" s="19">
        <f>(L228+L308+L358)</f>
        <v>228064</v>
      </c>
      <c r="H659" s="19">
        <f>(L246+L327+L359)</f>
        <v>616500.61</v>
      </c>
      <c r="I659" s="19">
        <f>SUM(F659:H659)</f>
        <v>1359698.04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22487</v>
      </c>
      <c r="G661" s="19">
        <f>(L225+L305)-(J225+J305)</f>
        <v>4939</v>
      </c>
      <c r="H661" s="19">
        <f>(L243+L324)-(J243+J324)</f>
        <v>41292</v>
      </c>
      <c r="I661" s="19">
        <f>SUM(F661:H661)</f>
        <v>68718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223654</v>
      </c>
      <c r="G662" s="199">
        <f>SUM(G574:G586)+SUM(I601:I603)+L611</f>
        <v>210860</v>
      </c>
      <c r="H662" s="199">
        <f>SUM(H574:H586)+SUM(J601:J603)+L612</f>
        <v>545090</v>
      </c>
      <c r="I662" s="19">
        <f>SUM(F662:H662)</f>
        <v>979604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268992.43</v>
      </c>
      <c r="G663" s="19">
        <f>G659-SUM(G660:G662)</f>
        <v>12265</v>
      </c>
      <c r="H663" s="19">
        <f>H659-SUM(H660:H662)</f>
        <v>30118.609999999986</v>
      </c>
      <c r="I663" s="19">
        <f>I659-SUM(I660:I662)</f>
        <v>311376.04000000004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26.17</v>
      </c>
      <c r="G664" s="248"/>
      <c r="H664" s="248"/>
      <c r="I664" s="19">
        <f>SUM(F664:H664)</f>
        <v>26.17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10278.66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11898.21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-12265</v>
      </c>
      <c r="H668" s="18">
        <v>-30118.61</v>
      </c>
      <c r="I668" s="19">
        <f>SUM(F668:H668)</f>
        <v>-42383.61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10278.66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10278.66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CROYDON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82940</v>
      </c>
      <c r="C9" s="229">
        <f>'DOE25'!G196+'DOE25'!G214+'DOE25'!G232+'DOE25'!G275+'DOE25'!G294+'DOE25'!G313</f>
        <v>34927</v>
      </c>
    </row>
    <row r="10" spans="1:3" x14ac:dyDescent="0.2">
      <c r="A10" t="s">
        <v>779</v>
      </c>
      <c r="B10" s="240">
        <v>69588</v>
      </c>
      <c r="C10" s="240">
        <v>27941.599999999999</v>
      </c>
    </row>
    <row r="11" spans="1:3" x14ac:dyDescent="0.2">
      <c r="A11" t="s">
        <v>780</v>
      </c>
      <c r="B11" s="240">
        <v>12159</v>
      </c>
      <c r="C11" s="240">
        <v>5239.05</v>
      </c>
    </row>
    <row r="12" spans="1:3" x14ac:dyDescent="0.2">
      <c r="A12" t="s">
        <v>781</v>
      </c>
      <c r="B12" s="240">
        <v>1193</v>
      </c>
      <c r="C12" s="240">
        <v>1746.35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82940</v>
      </c>
      <c r="C13" s="231">
        <f>SUM(C10:C12)</f>
        <v>34927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30439</v>
      </c>
      <c r="C18" s="229">
        <f>'DOE25'!G197+'DOE25'!G215+'DOE25'!G233+'DOE25'!G276+'DOE25'!G295+'DOE25'!G314</f>
        <v>6560</v>
      </c>
    </row>
    <row r="19" spans="1:3" x14ac:dyDescent="0.2">
      <c r="A19" t="s">
        <v>779</v>
      </c>
      <c r="B19" s="240">
        <v>20944</v>
      </c>
      <c r="C19" s="240">
        <v>5248</v>
      </c>
    </row>
    <row r="20" spans="1:3" x14ac:dyDescent="0.2">
      <c r="A20" t="s">
        <v>780</v>
      </c>
      <c r="B20" s="240">
        <v>8995</v>
      </c>
      <c r="C20" s="240">
        <v>1312</v>
      </c>
    </row>
    <row r="21" spans="1:3" x14ac:dyDescent="0.2">
      <c r="A21" t="s">
        <v>781</v>
      </c>
      <c r="B21" s="240">
        <v>500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30439</v>
      </c>
      <c r="C22" s="231">
        <f>SUM(C19:C21)</f>
        <v>6560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10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CROYDON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1154072.6099999999</v>
      </c>
      <c r="D5" s="20">
        <f>SUM('DOE25'!L196:L199)+SUM('DOE25'!L214:L217)+SUM('DOE25'!L232:L235)-F5-G5</f>
        <v>1154072.6099999999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399</v>
      </c>
      <c r="D6" s="20">
        <f>'DOE25'!L201+'DOE25'!L219+'DOE25'!L237-F6-G6</f>
        <v>399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59446.729999999996</v>
      </c>
      <c r="D8" s="243"/>
      <c r="E8" s="20">
        <f>'DOE25'!L203+'DOE25'!L221+'DOE25'!L239-F8-G8-D9-D11</f>
        <v>59446.729999999996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7214.27</v>
      </c>
      <c r="D9" s="244">
        <v>7214.27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6250</v>
      </c>
      <c r="D10" s="243"/>
      <c r="E10" s="244">
        <v>6250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15200</v>
      </c>
      <c r="D11" s="244">
        <v>15200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23065</v>
      </c>
      <c r="D14" s="20">
        <f>'DOE25'!L206+'DOE25'!L224+'DOE25'!L242-F14-G14</f>
        <v>23065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68718</v>
      </c>
      <c r="D15" s="20">
        <f>'DOE25'!L207+'DOE25'!L225+'DOE25'!L243-F15-G15</f>
        <v>64011</v>
      </c>
      <c r="E15" s="243"/>
      <c r="F15" s="255">
        <f>'DOE25'!J207+'DOE25'!J225+'DOE25'!J243</f>
        <v>0</v>
      </c>
      <c r="G15" s="53">
        <f>'DOE25'!K207+'DOE25'!K225+'DOE25'!K243</f>
        <v>4707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4707</v>
      </c>
      <c r="D16" s="243"/>
      <c r="E16" s="20">
        <f>'DOE25'!L208+'DOE25'!L226+'DOE25'!L244-F16-G16</f>
        <v>4707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26875.43</v>
      </c>
      <c r="D31" s="20">
        <f>'DOE25'!L289+'DOE25'!L308+'DOE25'!L327+'DOE25'!L332+'DOE25'!L333+'DOE25'!L334-F31-G31</f>
        <v>26875.43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1290837.3099999998</v>
      </c>
      <c r="E33" s="246">
        <f>SUM(E5:E31)</f>
        <v>70403.73</v>
      </c>
      <c r="F33" s="246">
        <f>SUM(F5:F31)</f>
        <v>0</v>
      </c>
      <c r="G33" s="246">
        <f>SUM(G5:G31)</f>
        <v>4707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70403.73</v>
      </c>
      <c r="E35" s="249"/>
    </row>
    <row r="36" spans="2:8" ht="12" thickTop="1" x14ac:dyDescent="0.2">
      <c r="B36" t="s">
        <v>815</v>
      </c>
      <c r="D36" s="20">
        <f>D33</f>
        <v>1290837.3099999998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221406.47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189019.86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4909.67</v>
      </c>
      <c r="D11" s="95">
        <f>'DOE25'!G12</f>
        <v>0</v>
      </c>
      <c r="E11" s="95">
        <f>'DOE25'!H12</f>
        <v>0</v>
      </c>
      <c r="F11" s="95">
        <f>'DOE25'!I12</f>
        <v>-4910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179010.9</v>
      </c>
      <c r="D12" s="95">
        <f>'DOE25'!G13</f>
        <v>0</v>
      </c>
      <c r="E12" s="95">
        <f>'DOE25'!H13</f>
        <v>0</v>
      </c>
      <c r="F12" s="95">
        <f>'DOE25'!I13</f>
        <v>4910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405337.04000000004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189019.86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373532.2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40086.9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31804.84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405337.04000000004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40086.9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148932.96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0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148932.96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405337.04000000004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189019.86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637982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16.53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1429.75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449.35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465.88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1429.75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638447.88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1429.75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341633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230181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571814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213.59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213.59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572027.59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6997.5</v>
      </c>
      <c r="D87" s="95">
        <f>SUM('DOE25'!G152:G160)</f>
        <v>0</v>
      </c>
      <c r="E87" s="95">
        <f>SUM('DOE25'!H152:H160)</f>
        <v>26875.43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6997.5</v>
      </c>
      <c r="D90" s="131">
        <f>SUM(D84:D89)</f>
        <v>0</v>
      </c>
      <c r="E90" s="131">
        <f>SUM(E84:E89)</f>
        <v>26875.43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115349.64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115349.64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1332822.6099999999</v>
      </c>
      <c r="D103" s="86">
        <f>D62+D80+D90+D102</f>
        <v>0</v>
      </c>
      <c r="E103" s="86">
        <f>E62+E80+E90+E102</f>
        <v>26875.43</v>
      </c>
      <c r="F103" s="86">
        <f>F62+F80+F90+F102</f>
        <v>0</v>
      </c>
      <c r="G103" s="86">
        <f>G62+G80+G102</f>
        <v>1429.75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971362.61</v>
      </c>
      <c r="D108" s="24" t="s">
        <v>289</v>
      </c>
      <c r="E108" s="95">
        <f>('DOE25'!L275)+('DOE25'!L294)+('DOE25'!L313)</f>
        <v>9645.59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182710</v>
      </c>
      <c r="D109" s="24" t="s">
        <v>289</v>
      </c>
      <c r="E109" s="95">
        <f>('DOE25'!L276)+('DOE25'!L295)+('DOE25'!L314)</f>
        <v>6046.53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1154072.6099999999</v>
      </c>
      <c r="D114" s="86">
        <f>SUM(D108:D113)</f>
        <v>0</v>
      </c>
      <c r="E114" s="86">
        <f>SUM(E108:E113)</f>
        <v>15692.119999999999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11183.31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81861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23065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68718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4707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178750</v>
      </c>
      <c r="D127" s="86">
        <f>SUM(D117:D126)</f>
        <v>0</v>
      </c>
      <c r="E127" s="86">
        <f>SUM(E117:E126)</f>
        <v>11183.31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115349.64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500.92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928.82999999999993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-1429.75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115349.64</v>
      </c>
    </row>
    <row r="144" spans="1:7" ht="12.75" thickTop="1" thickBot="1" x14ac:dyDescent="0.25">
      <c r="A144" s="33" t="s">
        <v>244</v>
      </c>
      <c r="C144" s="86">
        <f>(C114+C127+C143)</f>
        <v>1332822.6099999999</v>
      </c>
      <c r="D144" s="86">
        <f>(D114+D127+D143)</f>
        <v>0</v>
      </c>
      <c r="E144" s="86">
        <f>(E114+E127+E143)</f>
        <v>26875.43</v>
      </c>
      <c r="F144" s="86">
        <f>(F114+F127+F143)</f>
        <v>0</v>
      </c>
      <c r="G144" s="86">
        <f>(G114+G127+G143)</f>
        <v>115349.64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CROYDON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10279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10279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981008</v>
      </c>
      <c r="D10" s="182">
        <f>ROUND((C10/$C$28)*100,1)</f>
        <v>72.099999999999994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188757</v>
      </c>
      <c r="D11" s="182">
        <f>ROUND((C11/$C$28)*100,1)</f>
        <v>13.9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399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11183</v>
      </c>
      <c r="D16" s="182">
        <f t="shared" si="0"/>
        <v>0.8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86568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23065</v>
      </c>
      <c r="D20" s="182">
        <f t="shared" si="0"/>
        <v>1.7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68718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1359698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1359698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637982</v>
      </c>
      <c r="D35" s="182">
        <f t="shared" ref="D35:D40" si="1">ROUND((C35/$C$41)*100,1)</f>
        <v>51.2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1895.6300000000047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571814</v>
      </c>
      <c r="D37" s="182">
        <f t="shared" si="1"/>
        <v>45.9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214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33873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1245778.6299999999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CROYDON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19</v>
      </c>
      <c r="B4" s="219">
        <v>6</v>
      </c>
      <c r="C4" s="284" t="s">
        <v>911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2013-09-30T15:28:03Z</cp:lastPrinted>
  <dcterms:created xsi:type="dcterms:W3CDTF">1997-12-04T19:04:30Z</dcterms:created>
  <dcterms:modified xsi:type="dcterms:W3CDTF">2013-09-30T15:28:55Z</dcterms:modified>
</cp:coreProperties>
</file>