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210" windowWidth="12735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fullCalcOnLoad="1"/>
</workbook>
</file>

<file path=xl/calcChain.xml><?xml version="1.0" encoding="utf-8"?>
<calcChain xmlns="http://schemas.openxmlformats.org/spreadsheetml/2006/main">
  <c r="F467" i="1" l="1"/>
  <c r="F49" i="1"/>
  <c r="F109" i="1"/>
  <c r="F24" i="1"/>
  <c r="F14" i="1"/>
  <c r="H581" i="1"/>
  <c r="D11" i="13"/>
  <c r="D9" i="13"/>
  <c r="C9" i="13"/>
  <c r="C20" i="12"/>
  <c r="C19" i="12"/>
  <c r="H299" i="1"/>
  <c r="H280" i="1"/>
  <c r="G276" i="1"/>
  <c r="B20" i="12"/>
  <c r="B19" i="12"/>
  <c r="F276" i="1"/>
  <c r="F295" i="1"/>
  <c r="C11" i="12"/>
  <c r="C10" i="12"/>
  <c r="B10" i="12"/>
  <c r="J590" i="1"/>
  <c r="H590" i="1"/>
  <c r="H207" i="1"/>
  <c r="H225" i="1"/>
  <c r="H243" i="1"/>
  <c r="I590" i="1"/>
  <c r="I603" i="1"/>
  <c r="H603" i="1"/>
  <c r="I593" i="1"/>
  <c r="H591" i="1"/>
  <c r="H526" i="1"/>
  <c r="H525" i="1"/>
  <c r="H540" i="1"/>
  <c r="G532" i="1"/>
  <c r="G531" i="1"/>
  <c r="G530" i="1"/>
  <c r="F530" i="1"/>
  <c r="H527" i="1"/>
  <c r="K520" i="1"/>
  <c r="K521" i="1"/>
  <c r="J521" i="1"/>
  <c r="J520" i="1"/>
  <c r="I520" i="1"/>
  <c r="I521" i="1"/>
  <c r="H521" i="1"/>
  <c r="H520" i="1"/>
  <c r="H522" i="1"/>
  <c r="G521" i="1"/>
  <c r="G520" i="1"/>
  <c r="F521" i="1"/>
  <c r="F520" i="1"/>
  <c r="I506" i="1"/>
  <c r="G506" i="1"/>
  <c r="H471" i="1"/>
  <c r="H47" i="1"/>
  <c r="H318" i="1"/>
  <c r="F471" i="1"/>
  <c r="H467" i="1"/>
  <c r="L299" i="1"/>
  <c r="K332" i="1"/>
  <c r="H332" i="1"/>
  <c r="I226" i="1"/>
  <c r="I208" i="1"/>
  <c r="I206" i="1"/>
  <c r="I224" i="1"/>
  <c r="H224" i="1"/>
  <c r="H206" i="1"/>
  <c r="I204" i="1"/>
  <c r="H221" i="1"/>
  <c r="H203" i="1"/>
  <c r="G202" i="1"/>
  <c r="G220" i="1"/>
  <c r="I220" i="1"/>
  <c r="I202" i="1"/>
  <c r="H201" i="1"/>
  <c r="H219" i="1"/>
  <c r="I217" i="1"/>
  <c r="H196" i="1"/>
  <c r="F224" i="1"/>
  <c r="G224" i="1"/>
  <c r="G206" i="1"/>
  <c r="F206" i="1"/>
  <c r="H223" i="1"/>
  <c r="H205" i="1"/>
  <c r="F222" i="1"/>
  <c r="G222" i="1"/>
  <c r="H222" i="1"/>
  <c r="H204" i="1"/>
  <c r="G204" i="1"/>
  <c r="F220" i="1"/>
  <c r="H220" i="1"/>
  <c r="K220" i="1"/>
  <c r="K202" i="1"/>
  <c r="H202" i="1"/>
  <c r="F202" i="1"/>
  <c r="F219" i="1"/>
  <c r="F201" i="1"/>
  <c r="G219" i="1"/>
  <c r="G201" i="1"/>
  <c r="H237" i="1"/>
  <c r="I201" i="1"/>
  <c r="I219" i="1"/>
  <c r="I250" i="1"/>
  <c r="H250" i="1"/>
  <c r="G250" i="1"/>
  <c r="F250" i="1"/>
  <c r="J197" i="1"/>
  <c r="I197" i="1"/>
  <c r="I215" i="1"/>
  <c r="H197" i="1"/>
  <c r="H215" i="1"/>
  <c r="G197" i="1"/>
  <c r="G215" i="1"/>
  <c r="F215" i="1"/>
  <c r="F197" i="1"/>
  <c r="H232" i="1"/>
  <c r="H214" i="1"/>
  <c r="G196" i="1"/>
  <c r="G214" i="1"/>
  <c r="F214" i="1"/>
  <c r="F196" i="1"/>
  <c r="K357" i="1"/>
  <c r="I357" i="1"/>
  <c r="H357" i="1"/>
  <c r="G357" i="1"/>
  <c r="F357" i="1"/>
  <c r="H154" i="1"/>
  <c r="F62" i="1"/>
  <c r="F65" i="1"/>
  <c r="G157" i="1"/>
  <c r="H24" i="1"/>
  <c r="H14" i="1"/>
  <c r="H13" i="1"/>
  <c r="H22" i="1"/>
  <c r="F12" i="1"/>
  <c r="G16" i="1"/>
  <c r="F9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C110" i="2"/>
  <c r="L217" i="1"/>
  <c r="C111" i="2"/>
  <c r="L232" i="1"/>
  <c r="L233" i="1"/>
  <c r="L234" i="1"/>
  <c r="L235" i="1"/>
  <c r="F6" i="13"/>
  <c r="G6" i="13"/>
  <c r="L201" i="1"/>
  <c r="L219" i="1"/>
  <c r="L237" i="1"/>
  <c r="F7" i="13"/>
  <c r="G7" i="13"/>
  <c r="L202" i="1"/>
  <c r="D7" i="13"/>
  <c r="C7" i="13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92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7" i="10"/>
  <c r="C19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46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K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/>
  <c r="C12" i="2"/>
  <c r="D12" i="2"/>
  <c r="E12" i="2"/>
  <c r="F12" i="2"/>
  <c r="I441" i="1"/>
  <c r="J13" i="1"/>
  <c r="G12" i="2"/>
  <c r="C13" i="2"/>
  <c r="D13" i="2"/>
  <c r="E13" i="2"/>
  <c r="F13" i="2"/>
  <c r="I442" i="1"/>
  <c r="J14" i="1"/>
  <c r="G13" i="2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C34" i="2"/>
  <c r="D34" i="2"/>
  <c r="E34" i="2"/>
  <c r="F34" i="2"/>
  <c r="C35" i="2"/>
  <c r="D35" i="2"/>
  <c r="E35" i="2"/>
  <c r="F35" i="2"/>
  <c r="I453" i="1"/>
  <c r="J48" i="1"/>
  <c r="G47" i="2"/>
  <c r="I455" i="1"/>
  <c r="J43" i="1"/>
  <c r="I456" i="1"/>
  <c r="J37" i="1"/>
  <c r="G36" i="2"/>
  <c r="I458" i="1"/>
  <c r="J47" i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D80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E109" i="2"/>
  <c r="E110" i="2"/>
  <c r="E111" i="2"/>
  <c r="C112" i="2"/>
  <c r="E112" i="2"/>
  <c r="C113" i="2"/>
  <c r="E113" i="2"/>
  <c r="D114" i="2"/>
  <c r="F114" i="2"/>
  <c r="G114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F143" i="2" s="1"/>
  <c r="F144" i="2" s="1"/>
  <c r="D133" i="2"/>
  <c r="D143" i="2"/>
  <c r="E133" i="2"/>
  <c r="F133" i="2"/>
  <c r="K418" i="1"/>
  <c r="K426" i="1"/>
  <c r="K432" i="1"/>
  <c r="L262" i="1"/>
  <c r="C134" i="2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G50" i="1"/>
  <c r="G622" i="1"/>
  <c r="H50" i="1"/>
  <c r="I50" i="1"/>
  <c r="I51" i="1"/>
  <c r="H619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G256" i="1"/>
  <c r="G270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J351" i="1"/>
  <c r="K336" i="1"/>
  <c r="K337" i="1"/>
  <c r="K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/>
  <c r="J635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644" i="1"/>
  <c r="J644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J544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H570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K256" i="1"/>
  <c r="K270" i="1"/>
  <c r="I256" i="1"/>
  <c r="I270" i="1"/>
  <c r="G159" i="2"/>
  <c r="C18" i="2"/>
  <c r="F31" i="2"/>
  <c r="C26" i="10"/>
  <c r="L327" i="1"/>
  <c r="H659" i="1"/>
  <c r="H663" i="1"/>
  <c r="H666" i="1"/>
  <c r="L350" i="1"/>
  <c r="I661" i="1"/>
  <c r="L289" i="1"/>
  <c r="A31" i="12"/>
  <c r="C69" i="2"/>
  <c r="D12" i="13"/>
  <c r="C12" i="13"/>
  <c r="G161" i="2"/>
  <c r="D61" i="2"/>
  <c r="D62" i="2"/>
  <c r="E49" i="2"/>
  <c r="D18" i="13"/>
  <c r="C18" i="13"/>
  <c r="D15" i="13"/>
  <c r="C15" i="13"/>
  <c r="F102" i="2"/>
  <c r="D18" i="2"/>
  <c r="E18" i="2"/>
  <c r="D17" i="13"/>
  <c r="C17" i="13"/>
  <c r="G158" i="2"/>
  <c r="C90" i="2"/>
  <c r="G80" i="2"/>
  <c r="F77" i="2"/>
  <c r="F80" i="2"/>
  <c r="F61" i="2"/>
  <c r="F62" i="2"/>
  <c r="D31" i="2"/>
  <c r="C77" i="2"/>
  <c r="D49" i="2"/>
  <c r="G156" i="2"/>
  <c r="F49" i="2"/>
  <c r="F50" i="2"/>
  <c r="F18" i="2"/>
  <c r="G162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C31" i="2"/>
  <c r="G61" i="2"/>
  <c r="D19" i="13"/>
  <c r="C19" i="13"/>
  <c r="E13" i="13"/>
  <c r="C13" i="13"/>
  <c r="E77" i="2"/>
  <c r="E80" i="2"/>
  <c r="L426" i="1"/>
  <c r="J256" i="1"/>
  <c r="J270" i="1"/>
  <c r="H111" i="1"/>
  <c r="F111" i="1"/>
  <c r="J640" i="1"/>
  <c r="J638" i="1"/>
  <c r="K604" i="1"/>
  <c r="G647" i="1"/>
  <c r="J647" i="1"/>
  <c r="J570" i="1"/>
  <c r="K570" i="1"/>
  <c r="L432" i="1"/>
  <c r="L418" i="1"/>
  <c r="I168" i="1"/>
  <c r="H168" i="1"/>
  <c r="J643" i="1"/>
  <c r="J642" i="1"/>
  <c r="J475" i="1"/>
  <c r="H625" i="1"/>
  <c r="J625" i="1"/>
  <c r="H475" i="1"/>
  <c r="H623" i="1"/>
  <c r="J623" i="1"/>
  <c r="F475" i="1"/>
  <c r="H621" i="1"/>
  <c r="J621" i="1"/>
  <c r="I475" i="1"/>
  <c r="H624" i="1"/>
  <c r="J624" i="1"/>
  <c r="G475" i="1"/>
  <c r="H622" i="1"/>
  <c r="J622" i="1"/>
  <c r="G337" i="1"/>
  <c r="G351" i="1"/>
  <c r="F168" i="1"/>
  <c r="J139" i="1"/>
  <c r="F570" i="1"/>
  <c r="G22" i="2"/>
  <c r="K597" i="1"/>
  <c r="G646" i="1"/>
  <c r="K544" i="1"/>
  <c r="C29" i="10"/>
  <c r="H139" i="1"/>
  <c r="L400" i="1"/>
  <c r="C138" i="2"/>
  <c r="A13" i="12"/>
  <c r="F22" i="13"/>
  <c r="H25" i="13"/>
  <c r="C25" i="13"/>
  <c r="J639" i="1"/>
  <c r="J633" i="1"/>
  <c r="L559" i="1"/>
  <c r="F337" i="1"/>
  <c r="F351" i="1"/>
  <c r="G191" i="1"/>
  <c r="H191" i="1"/>
  <c r="C35" i="10"/>
  <c r="C49" i="2"/>
  <c r="C50" i="2"/>
  <c r="J654" i="1"/>
  <c r="L569" i="1"/>
  <c r="I570" i="1"/>
  <c r="I544" i="1"/>
  <c r="L564" i="1"/>
  <c r="G544" i="1"/>
  <c r="H544" i="1"/>
  <c r="C22" i="13"/>
  <c r="H33" i="13"/>
  <c r="C24" i="10"/>
  <c r="G31" i="13"/>
  <c r="G33" i="13"/>
  <c r="I337" i="1"/>
  <c r="I351" i="1"/>
  <c r="L406" i="1"/>
  <c r="C139" i="2"/>
  <c r="I191" i="1"/>
  <c r="E90" i="2"/>
  <c r="D50" i="2"/>
  <c r="J653" i="1"/>
  <c r="J652" i="1"/>
  <c r="G21" i="2"/>
  <c r="L433" i="1"/>
  <c r="G637" i="1"/>
  <c r="J637" i="1"/>
  <c r="J433" i="1"/>
  <c r="F433" i="1"/>
  <c r="K433" i="1"/>
  <c r="G133" i="2"/>
  <c r="G143" i="2"/>
  <c r="G144" i="2"/>
  <c r="C6" i="10"/>
  <c r="F31" i="13"/>
  <c r="H192" i="1"/>
  <c r="G628" i="1"/>
  <c r="J628" i="1"/>
  <c r="G168" i="1"/>
  <c r="C39" i="10"/>
  <c r="G139" i="1"/>
  <c r="F139" i="1"/>
  <c r="F192" i="1"/>
  <c r="G626" i="1"/>
  <c r="J626" i="1"/>
  <c r="G42" i="2"/>
  <c r="G16" i="2"/>
  <c r="F33" i="13"/>
  <c r="F544" i="1"/>
  <c r="H433" i="1"/>
  <c r="J619" i="1"/>
  <c r="D102" i="2"/>
  <c r="I139" i="1"/>
  <c r="A22" i="12"/>
  <c r="H647" i="1"/>
  <c r="J651" i="1"/>
  <c r="J641" i="1"/>
  <c r="G570" i="1"/>
  <c r="I433" i="1"/>
  <c r="G433" i="1"/>
  <c r="I662" i="1"/>
  <c r="G46" i="2"/>
  <c r="J50" i="1"/>
  <c r="G11" i="2"/>
  <c r="G18" i="2"/>
  <c r="J19" i="1"/>
  <c r="G620" i="1"/>
  <c r="L361" i="1"/>
  <c r="D29" i="13"/>
  <c r="G660" i="1"/>
  <c r="F660" i="1"/>
  <c r="G634" i="1"/>
  <c r="J634" i="1"/>
  <c r="C27" i="10"/>
  <c r="G192" i="1"/>
  <c r="G627" i="1"/>
  <c r="J627" i="1"/>
  <c r="I192" i="1"/>
  <c r="G629" i="1"/>
  <c r="J629" i="1"/>
  <c r="C36" i="10"/>
  <c r="D36" i="10"/>
  <c r="C38" i="10"/>
  <c r="C80" i="2"/>
  <c r="H51" i="1"/>
  <c r="H618" i="1"/>
  <c r="J618" i="1"/>
  <c r="G51" i="1"/>
  <c r="H617" i="1"/>
  <c r="J617" i="1"/>
  <c r="F51" i="1"/>
  <c r="H616" i="1"/>
  <c r="G625" i="1"/>
  <c r="C29" i="13"/>
  <c r="I660" i="1"/>
  <c r="C10" i="10"/>
  <c r="L336" i="1"/>
  <c r="C118" i="2"/>
  <c r="C117" i="2"/>
  <c r="E16" i="13"/>
  <c r="C16" i="13"/>
  <c r="J650" i="1"/>
  <c r="C20" i="10"/>
  <c r="L210" i="1"/>
  <c r="D14" i="13"/>
  <c r="C14" i="13"/>
  <c r="C18" i="10"/>
  <c r="C16" i="10"/>
  <c r="D6" i="13"/>
  <c r="C6" i="13"/>
  <c r="C41" i="10"/>
  <c r="D39" i="10"/>
  <c r="J192" i="1"/>
  <c r="G49" i="2"/>
  <c r="J32" i="1"/>
  <c r="J51" i="1"/>
  <c r="H620" i="1"/>
  <c r="J620" i="1"/>
  <c r="G30" i="2"/>
  <c r="G31" i="2"/>
  <c r="C103" i="2"/>
  <c r="D103" i="2"/>
  <c r="G62" i="2"/>
  <c r="G103" i="2"/>
  <c r="E103" i="2"/>
  <c r="E50" i="2"/>
  <c r="D144" i="2"/>
  <c r="D37" i="10"/>
  <c r="D40" i="10"/>
  <c r="D35" i="10"/>
  <c r="D41" i="10"/>
  <c r="D38" i="10"/>
  <c r="F103" i="2"/>
  <c r="L228" i="1"/>
  <c r="H256" i="1"/>
  <c r="H270" i="1"/>
  <c r="C109" i="2"/>
  <c r="C114" i="2"/>
  <c r="D5" i="13"/>
  <c r="C127" i="2"/>
  <c r="C144" i="2"/>
  <c r="G645" i="1"/>
  <c r="G630" i="1"/>
  <c r="G50" i="2"/>
  <c r="C5" i="13"/>
  <c r="J630" i="1"/>
  <c r="J551" i="1"/>
  <c r="I551" i="1"/>
  <c r="L533" i="1"/>
  <c r="H551" i="1"/>
  <c r="K550" i="1"/>
  <c r="L523" i="1"/>
  <c r="F551" i="1"/>
  <c r="L570" i="1"/>
  <c r="G163" i="2"/>
  <c r="K499" i="1"/>
  <c r="G160" i="2"/>
  <c r="C137" i="2"/>
  <c r="C140" i="2"/>
  <c r="C143" i="2"/>
  <c r="L407" i="1"/>
  <c r="H337" i="1"/>
  <c r="H351" i="1"/>
  <c r="E117" i="2"/>
  <c r="E127" i="2"/>
  <c r="E144" i="2"/>
  <c r="L308" i="1"/>
  <c r="L337" i="1"/>
  <c r="L351" i="1"/>
  <c r="G632" i="1"/>
  <c r="J632" i="1"/>
  <c r="C15" i="10"/>
  <c r="C28" i="10"/>
  <c r="L544" i="1"/>
  <c r="G636" i="1"/>
  <c r="J636" i="1"/>
  <c r="H645" i="1"/>
  <c r="J645" i="1"/>
  <c r="A40" i="12"/>
  <c r="G659" i="1"/>
  <c r="G663" i="1"/>
  <c r="G666" i="1"/>
  <c r="D31" i="13"/>
  <c r="D33" i="13"/>
  <c r="D36" i="13"/>
  <c r="D15" i="10"/>
  <c r="D12" i="10"/>
  <c r="F659" i="1"/>
  <c r="I659" i="1"/>
  <c r="I663" i="1"/>
  <c r="I671" i="1"/>
  <c r="C7" i="10" s="1"/>
  <c r="D21" i="10"/>
  <c r="L256" i="1"/>
  <c r="L270" i="1"/>
  <c r="G631" i="1"/>
  <c r="J631" i="1"/>
  <c r="G671" i="1"/>
  <c r="C5" i="10" s="1"/>
  <c r="D17" i="10"/>
  <c r="F663" i="1"/>
  <c r="F671" i="1"/>
  <c r="C4" i="10" s="1"/>
  <c r="D11" i="10"/>
  <c r="D18" i="10"/>
  <c r="D24" i="10"/>
  <c r="D19" i="10"/>
  <c r="C30" i="10"/>
  <c r="D23" i="10"/>
  <c r="D22" i="10"/>
  <c r="D27" i="10"/>
  <c r="D13" i="10"/>
  <c r="D20" i="10"/>
  <c r="D10" i="10"/>
  <c r="J648" i="1"/>
  <c r="J649" i="1"/>
  <c r="H671" i="1"/>
  <c r="D25" i="10"/>
  <c r="D16" i="10"/>
  <c r="D26" i="10"/>
  <c r="J646" i="1"/>
  <c r="G551" i="1"/>
  <c r="K548" i="1"/>
  <c r="K551" i="1"/>
  <c r="C31" i="13"/>
  <c r="D28" i="10"/>
  <c r="E8" i="13"/>
  <c r="C8" i="13"/>
  <c r="E33" i="13"/>
  <c r="D35" i="13"/>
  <c r="F666" i="1"/>
  <c r="I666" i="1"/>
  <c r="H655" i="1"/>
  <c r="J61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<sst xmlns="http://schemas.openxmlformats.org/spreadsheetml/2006/main" count="3952" uniqueCount="916">
  <si>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</si>
  <si>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</si>
  <si>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</si>
  <si>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</si>
  <si>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</si>
  <si>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</si>
  <si>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</si>
  <si>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</si>
  <si>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</si>
  <si>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</si>
  <si>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</si>
  <si>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</si>
  <si>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</si>
  <si>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</si>
  <si>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</si>
  <si>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</si>
  <si>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</si>
  <si>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</si>
  <si>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</si>
  <si>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</si>
  <si>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</si>
  <si>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</si>
  <si>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</si>
  <si>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</si>
  <si>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</si>
  <si>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</si>
  <si>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</si>
  <si>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</si>
  <si>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</si>
  <si>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</si>
  <si>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</si>
  <si>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</si>
  <si>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</si>
  <si>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</si>
  <si>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</si>
  <si>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</si>
  <si>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</si>
  <si>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</si>
  <si>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</si>
  <si>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</si>
  <si>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</si>
  <si>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</si>
  <si>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</si>
  <si>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</si>
  <si>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</si>
  <si>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</si>
  <si>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</si>
  <si>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</si>
  <si>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</si>
  <si>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</si>
  <si>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</si>
  <si>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</si>
  <si>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</si>
  <si>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</si>
  <si>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</si>
  <si>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</si>
  <si>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</si>
  <si>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</si>
  <si>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</si>
  <si>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</si>
  <si>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</si>
  <si>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</si>
  <si>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</si>
  <si>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</si>
  <si>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</si>
  <si>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</si>
  <si>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</si>
  <si>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</si>
  <si>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</si>
  <si>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</si>
  <si>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</si>
  <si>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</si>
  <si>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</si>
  <si>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</si>
  <si>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</si>
  <si>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</si>
  <si>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</si>
  <si>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</si>
  <si>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</si>
  <si>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</si>
  <si>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</si>
  <si>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</si>
  <si>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</si>
  <si>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</si>
  <si>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</si>
  <si>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</si>
  <si>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</si>
  <si>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</si>
  <si>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</si>
  <si>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</si>
  <si>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</si>
  <si>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</si>
  <si>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</si>
  <si>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</si>
  <si>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</si>
  <si>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</si>
  <si>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</si>
  <si>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</si>
  <si>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</si>
  <si>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</si>
  <si>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</si>
  <si>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</si>
  <si>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</si>
  <si>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</si>
  <si>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</si>
  <si>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</si>
  <si>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</si>
  <si>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</si>
  <si>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</si>
  <si>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</si>
  <si>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</si>
  <si>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</si>
  <si>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</si>
  <si>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</si>
  <si>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</si>
  <si>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</si>
  <si>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</si>
  <si>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</si>
  <si>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</si>
  <si>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</si>
  <si>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</si>
  <si>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</si>
  <si>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</si>
  <si>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</si>
  <si>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</si>
  <si>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</si>
  <si>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</si>
  <si>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</si>
  <si>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</si>
  <si>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</si>
  <si>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</si>
  <si>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</si>
  <si>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</si>
  <si>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</si>
  <si>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</si>
  <si>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</si>
  <si>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</si>
  <si>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</si>
  <si>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</si>
  <si>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</si>
  <si>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</si>
  <si>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</si>
  <si>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</si>
  <si>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</si>
  <si>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</si>
  <si>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</si>
  <si>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</si>
  <si>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</si>
  <si>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</si>
  <si>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</si>
  <si>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</si>
  <si>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</si>
  <si>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</si>
  <si>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</si>
  <si>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</si>
  <si>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</si>
  <si>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</si>
  <si>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</si>
  <si>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</si>
  <si>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</si>
  <si>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</si>
  <si>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</si>
  <si>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</si>
  <si>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</si>
  <si>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</si>
  <si>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</si>
  <si>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</si>
  <si>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</si>
  <si>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</si>
  <si>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</si>
  <si>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</si>
  <si>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</si>
  <si>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</si>
  <si>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</si>
  <si>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</si>
  <si>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</si>
  <si>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</si>
  <si>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</si>
  <si>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</si>
  <si>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</si>
  <si>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</si>
  <si>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</si>
  <si>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</si>
  <si>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</si>
  <si>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</si>
  <si>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</si>
  <si>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</si>
  <si>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</si>
  <si>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</si>
  <si>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</si>
  <si>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</si>
  <si>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</si>
  <si>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</si>
  <si>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</si>
  <si>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</si>
  <si>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</si>
  <si>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</si>
  <si>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</si>
  <si>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</si>
  <si>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</si>
  <si>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</si>
  <si>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</si>
  <si>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</si>
  <si>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</si>
  <si>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</si>
  <si>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</si>
  <si>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</si>
  <si>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</si>
  <si>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</si>
  <si>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</si>
  <si>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</si>
  <si>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</si>
  <si>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</si>
  <si>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</si>
  <si>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</si>
  <si>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</si>
  <si>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</si>
  <si>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</si>
  <si>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</si>
  <si>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</si>
  <si>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</si>
  <si>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</si>
  <si>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</si>
  <si>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</si>
  <si>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</si>
  <si>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</si>
  <si>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</si>
  <si>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</si>
  <si>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</si>
  <si>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</si>
  <si>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</si>
  <si>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</si>
  <si>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</si>
  <si>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</si>
  <si>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</si>
  <si>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</si>
  <si>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</si>
  <si>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</si>
  <si>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</si>
  <si>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</si>
  <si>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</si>
  <si>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</si>
  <si>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</si>
  <si>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</si>
  <si>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</si>
  <si>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</si>
  <si>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</si>
  <si>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</si>
  <si>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</si>
  <si>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</si>
  <si>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</si>
  <si>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</si>
  <si>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</si>
  <si>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</si>
  <si>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</si>
  <si>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</si>
  <si>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</si>
  <si>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</si>
  <si>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</si>
  <si>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</si>
  <si>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</si>
  <si>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</si>
  <si>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</si>
  <si>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</si>
  <si>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</si>
  <si>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</si>
  <si>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</si>
  <si>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</si>
  <si>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</si>
  <si>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</si>
  <si>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</si>
  <si>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</si>
  <si>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</si>
  <si>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</si>
  <si>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</si>
  <si>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</si>
  <si>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</si>
  <si>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</si>
  <si>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</si>
  <si>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</si>
  <si>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</si>
  <si>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</si>
  <si>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</si>
  <si>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</si>
  <si>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</si>
  <si>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</si>
  <si>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</si>
  <si>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</si>
  <si>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</si>
  <si>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</si>
  <si>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</si>
  <si>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</si>
  <si>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</si>
  <si>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</si>
  <si>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</si>
  <si>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</si>
  <si>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</si>
  <si>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</si>
  <si>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</si>
  <si>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</si>
  <si>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</si>
  <si>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</si>
  <si>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</si>
  <si>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</si>
  <si>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</si>
  <si>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</si>
  <si>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</si>
  <si>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</si>
  <si>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</si>
  <si>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</si>
  <si>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</si>
  <si>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</si>
  <si>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</si>
  <si>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</si>
  <si>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</si>
  <si>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</si>
  <si>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</si>
  <si>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</si>
  <si>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</si>
  <si>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</si>
  <si>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</si>
  <si>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</si>
  <si>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</si>
  <si>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</si>
  <si>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</si>
  <si>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</si>
  <si>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</si>
  <si>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</si>
  <si>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</si>
  <si>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</si>
  <si>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</si>
  <si>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</si>
  <si>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</si>
  <si>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</si>
  <si>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</si>
  <si>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</si>
  <si>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</si>
  <si>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</si>
  <si>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</si>
  <si>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</si>
  <si>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</si>
  <si>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</si>
  <si>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</si>
  <si>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</si>
  <si>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</si>
  <si>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</si>
  <si>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</si>
  <si>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</si>
  <si>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</si>
  <si>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</si>
  <si>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</si>
  <si>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</si>
  <si>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</si>
  <si>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</si>
  <si>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</si>
  <si>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</si>
  <si>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</si>
  <si>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</si>
  <si>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</si>
  <si>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</si>
  <si>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</si>
  <si>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</si>
  <si>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</si>
  <si>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</si>
  <si>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</si>
  <si>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</si>
  <si>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</si>
  <si>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</si>
  <si>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</si>
  <si>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</si>
  <si>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</si>
  <si>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</si>
  <si>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</si>
  <si>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</si>
  <si>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</si>
  <si>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</si>
  <si>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</si>
  <si>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</si>
  <si>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</si>
  <si>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</si>
  <si>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</si>
  <si>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</si>
  <si>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</si>
  <si>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</si>
  <si>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</si>
  <si>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</si>
  <si>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</si>
  <si>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</si>
  <si>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</si>
  <si>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</si>
  <si>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</si>
  <si>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</si>
  <si>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</si>
  <si>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</si>
  <si>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</si>
  <si>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</si>
  <si>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</si>
  <si>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</si>
  <si>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</si>
  <si>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</si>
  <si>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</si>
  <si>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</si>
  <si>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</si>
  <si>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</si>
  <si>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</si>
  <si>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</si>
  <si>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</si>
  <si>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</si>
  <si>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</si>
  <si>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</si>
  <si>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</si>
  <si>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</si>
  <si>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</si>
  <si>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</si>
  <si>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</si>
  <si>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</si>
  <si>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</si>
  <si>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</si>
  <si>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</si>
  <si>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</si>
  <si>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</si>
  <si>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</si>
  <si>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</si>
  <si>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</si>
  <si>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</si>
  <si>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</si>
  <si>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</si>
  <si>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</si>
  <si>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</si>
  <si>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</si>
  <si>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</si>
  <si>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</si>
  <si>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</si>
  <si>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</si>
  <si>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</si>
  <si>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</si>
  <si>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</si>
  <si>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</si>
  <si>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</si>
  <si>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</si>
  <si>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</si>
  <si>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</si>
  <si>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</si>
  <si>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</si>
  <si>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</si>
  <si>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</si>
  <si>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</si>
  <si>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</si>
  <si>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</si>
  <si>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</si>
  <si>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</si>
  <si>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</si>
  <si>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</si>
  <si>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</si>
  <si>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</si>
  <si>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</si>
  <si>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</si>
  <si>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</si>
  <si>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</si>
  <si>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</si>
  <si>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</si>
  <si>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</si>
  <si>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</si>
  <si>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</si>
  <si>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</si>
  <si>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</si>
  <si>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</si>
  <si>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</si>
  <si>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</si>
  <si>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</si>
  <si>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</si>
  <si>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</si>
  <si>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</si>
  <si>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</si>
  <si>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</si>
  <si>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</si>
  <si>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</si>
  <si>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</si>
  <si>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</si>
  <si>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</si>
  <si>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</si>
  <si>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</si>
  <si>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</si>
  <si>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</si>
  <si>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</si>
  <si>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</si>
  <si>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</si>
  <si>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</si>
  <si>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</si>
  <si>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</si>
  <si>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</si>
  <si>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</si>
  <si>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</si>
  <si>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</si>
  <si>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</si>
  <si>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</si>
  <si>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</si>
  <si>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</si>
  <si>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</si>
  <si>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</si>
  <si>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</si>
  <si>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</si>
  <si>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</si>
  <si>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</si>
  <si>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</si>
  <si>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</si>
  <si>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</si>
  <si>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</si>
  <si>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</si>
  <si>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</si>
  <si>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</si>
  <si>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</si>
  <si>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</si>
  <si>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</si>
  <si>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</si>
  <si>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</si>
  <si>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</si>
  <si>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</si>
  <si>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</si>
  <si>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</si>
  <si>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</si>
  <si>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</si>
  <si>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</si>
  <si>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</si>
  <si>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</si>
  <si>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</si>
  <si>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</si>
  <si>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</si>
  <si>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</si>
  <si>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</si>
  <si>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</si>
  <si>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</si>
  <si>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</si>
  <si>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</si>
  <si>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</si>
  <si>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</si>
  <si>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</si>
  <si>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</si>
  <si>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</si>
  <si>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</si>
  <si>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</si>
  <si>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</si>
  <si>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</si>
  <si>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</si>
  <si>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</si>
  <si>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</si>
  <si>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</si>
  <si>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</si>
  <si>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</si>
  <si>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</si>
  <si>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</si>
  <si>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</si>
  <si>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</si>
  <si>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</si>
  <si>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</si>
  <si>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</si>
  <si>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</si>
  <si>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</si>
  <si>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</si>
  <si>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</si>
  <si>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</si>
  <si>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</si>
  <si>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</si>
  <si>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</si>
  <si>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</si>
  <si>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</si>
  <si>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</si>
  <si>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</si>
  <si>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</si>
  <si>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</si>
  <si>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</si>
  <si>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</si>
  <si>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</si>
  <si>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</si>
  <si>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</si>
  <si>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</si>
  <si>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</si>
  <si>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</si>
  <si>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</si>
  <si>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</si>
  <si>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</si>
  <si>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</si>
  <si>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</si>
  <si>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</si>
  <si>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</si>
  <si>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</si>
  <si>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</si>
  <si>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</si>
  <si>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</si>
  <si>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</si>
  <si>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</si>
  <si>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</si>
  <si>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</si>
  <si>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</si>
  <si>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</si>
  <si>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</si>
  <si>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</si>
  <si>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</si>
  <si>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</si>
  <si>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</si>
  <si>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</si>
  <si>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</si>
  <si>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</si>
  <si>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</si>
  <si>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</si>
  <si>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</si>
  <si>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</si>
  <si>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</si>
  <si>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</si>
  <si>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</si>
  <si>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</si>
  <si>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</si>
  <si>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</si>
  <si>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</si>
  <si>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</si>
  <si>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</si>
  <si>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</si>
  <si>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</si>
  <si>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</si>
  <si>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</si>
  <si>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</si>
  <si>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</si>
  <si>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</si>
  <si>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</si>
  <si>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</si>
  <si>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</si>
  <si>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</si>
  <si>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</si>
  <si>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</si>
  <si>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</si>
  <si>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</si>
  <si>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</si>
  <si>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</si>
  <si>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</si>
  <si>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</si>
  <si>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</si>
  <si>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</si>
  <si>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</si>
  <si>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</si>
  <si>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</si>
  <si>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</si>
  <si>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</si>
  <si>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</si>
  <si>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</si>
  <si>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</si>
  <si>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</si>
  <si>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</si>
  <si>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</si>
  <si>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</si>
  <si>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</si>
  <si>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</si>
  <si>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</si>
  <si>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</si>
  <si>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</si>
  <si>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</si>
  <si>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</si>
  <si>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</si>
  <si>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</si>
  <si>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</si>
  <si>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</si>
  <si>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</si>
  <si>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</si>
  <si>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</si>
  <si>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</si>
  <si>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</si>
  <si>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</si>
  <si>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</si>
  <si>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</si>
  <si>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</si>
  <si>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</si>
  <si>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</si>
  <si>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</si>
  <si>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</si>
  <si>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</si>
  <si>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</si>
  <si>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</si>
  <si>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</si>
  <si>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</si>
  <si>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</si>
  <si>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</si>
  <si>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</si>
  <si>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</si>
  <si>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</si>
  <si>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</si>
  <si>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</si>
  <si>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</si>
  <si>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</si>
  <si>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</si>
  <si>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</si>
  <si>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</si>
  <si>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</si>
  <si>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</si>
  <si>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</si>
  <si>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</si>
  <si>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</si>
  <si>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</si>
  <si>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</si>
  <si>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</si>
  <si>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</si>
  <si>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</si>
  <si>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</si>
  <si>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</si>
  <si>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</si>
  <si>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</si>
  <si>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</si>
  <si>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</si>
  <si>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</si>
  <si>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</si>
  <si>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</si>
  <si>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</si>
  <si>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</si>
  <si>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</si>
  <si>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</si>
  <si>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</si>
  <si>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</si>
  <si>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</si>
  <si>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</si>
  <si>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</si>
  <si>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</si>
  <si>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</si>
  <si>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</si>
  <si>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</si>
  <si>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</si>
  <si>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</si>
  <si>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</si>
  <si>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</si>
  <si>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</si>
  <si>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</si>
  <si>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</si>
  <si>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</si>
  <si>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</si>
  <si>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</si>
  <si>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</si>
  <si>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</si>
  <si>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</si>
  <si>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</si>
  <si>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</si>
  <si>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</si>
  <si>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</si>
  <si>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</si>
  <si>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</si>
  <si>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</si>
  <si>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</si>
  <si>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</si>
  <si>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</si>
  <si>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</si>
  <si>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</si>
  <si>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</si>
  <si>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</si>
  <si>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</si>
  <si>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</si>
  <si>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</si>
  <si>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</si>
  <si>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</si>
  <si>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</si>
  <si>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</si>
  <si>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</si>
  <si>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</si>
  <si>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</si>
  <si>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</si>
  <si>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</si>
  <si>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</si>
  <si>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</si>
  <si>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</si>
  <si>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</si>
  <si>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</si>
  <si>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</si>
  <si>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</si>
  <si>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</si>
  <si>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</si>
  <si>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</si>
  <si>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</si>
  <si>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</si>
  <si>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</si>
  <si>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</si>
  <si>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</si>
  <si>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</si>
  <si>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</si>
  <si>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</si>
  <si>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</si>
  <si>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</si>
  <si>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</si>
  <si>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</si>
  <si>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</si>
  <si>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</si>
  <si>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</si>
  <si>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</si>
  <si>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</si>
  <si>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</si>
  <si>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</si>
  <si>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</si>
  <si>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</si>
  <si>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</si>
  <si>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</si>
  <si>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</si>
  <si>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</si>
  <si>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</si>
  <si>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</si>
  <si>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</si>
  <si>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</si>
  <si>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</si>
  <si>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</si>
  <si>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</si>
  <si>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</si>
  <si>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</si>
  <si>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</si>
  <si>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</si>
  <si>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</si>
  <si>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</si>
  <si>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</si>
  <si>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</si>
  <si>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</si>
  <si>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</si>
  <si>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</si>
  <si>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</si>
  <si>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</si>
  <si>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</si>
  <si>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</si>
  <si>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</si>
  <si>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</si>
  <si>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</si>
  <si>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</si>
  <si>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</si>
  <si>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</si>
  <si>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</si>
  <si>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</si>
  <si>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</si>
  <si>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</si>
  <si>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</si>
  <si>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</si>
  <si>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</si>
  <si>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</si>
  <si>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</si>
  <si>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</si>
  <si>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</si>
  <si>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</si>
  <si>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</si>
  <si>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</si>
  <si>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</si>
  <si>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</si>
  <si>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</si>
  <si>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</si>
  <si>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</si>
  <si>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</si>
  <si>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</si>
  <si>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</si>
  <si>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</si>
  <si>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</si>
  <si>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</si>
  <si>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</si>
  <si>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</si>
  <si>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</si>
  <si>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</si>
  <si>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</si>
  <si>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</si>
  <si>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</si>
  <si>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</si>
  <si>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</si>
  <si>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</si>
  <si>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</si>
  <si>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</si>
  <si>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</si>
  <si>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</si>
  <si>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</si>
  <si>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</si>
  <si>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</si>
  <si>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</si>
  <si>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</si>
  <si>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</si>
  <si>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</si>
  <si>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</si>
  <si>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</si>
  <si>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</si>
  <si>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</si>
  <si>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</si>
  <si>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</si>
  <si>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</si>
  <si>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</si>
  <si>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</si>
  <si>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</si>
  <si>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</si>
  <si>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</si>
  <si>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</si>
  <si>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</si>
  <si>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</si>
  <si>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</si>
  <si>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</si>
  <si>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</si>
  <si>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</si>
  <si>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</si>
  <si>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</si>
  <si>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</si>
  <si>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</si>
  <si>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</si>
  <si>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</si>
  <si>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</si>
  <si>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</si>
  <si>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</si>
  <si>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</si>
  <si>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</si>
  <si>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</si>
  <si>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</si>
  <si>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</si>
  <si>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</si>
  <si>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</si>
  <si>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</si>
  <si>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</si>
  <si>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</si>
  <si>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</si>
  <si>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Derry Cooperative School District</t>
  </si>
  <si>
    <t>02/94</t>
  </si>
  <si>
    <t>07/03</t>
  </si>
  <si>
    <t>01/11</t>
  </si>
  <si>
    <t>06/14</t>
  </si>
  <si>
    <t>07/23</t>
  </si>
  <si>
    <t>07/19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</si>
</sst>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131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4450027.77+200</f>
        <v>4450227.7699999996</v>
      </c>
      <c r="G9" s="18">
        <v>925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657195.87-181004.25</f>
        <v>476191.62</v>
      </c>
      <c r="G12" s="18">
        <v>233996.77</v>
      </c>
      <c r="H12" s="18"/>
      <c r="I12" s="18"/>
      <c r="J12" s="67">
        <f>SUM(I440)</f>
        <v>182497.08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104009.84</v>
      </c>
      <c r="G13" s="18">
        <v>47538.38</v>
      </c>
      <c r="H13" s="18">
        <f>711829.1</f>
        <v>711829.1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36319.58+829522.95</f>
        <v>865842.52999999991</v>
      </c>
      <c r="G14" s="18">
        <v>3642.34</v>
      </c>
      <c r="H14" s="18">
        <f>29504.3+14676.36</f>
        <v>44180.66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29136.85</v>
      </c>
      <c r="G16" s="18">
        <f>10748.95+44090.4</f>
        <v>54839.350000000006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5925408.6099999994</v>
      </c>
      <c r="G19" s="41">
        <f>SUM(G9:G18)</f>
        <v>340941.83999999997</v>
      </c>
      <c r="H19" s="41">
        <f>SUM(H9:H18)</f>
        <v>756009.76</v>
      </c>
      <c r="I19" s="41">
        <f>SUM(I9:I18)</f>
        <v>0</v>
      </c>
      <c r="J19" s="41">
        <f>SUM(J9:J18)</f>
        <v>182497.08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676818.89+26513.8+6855.7</f>
        <v>710188.39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656347.6+244701.48</f>
        <v>901049.08</v>
      </c>
      <c r="G24" s="18">
        <v>1992.23</v>
      </c>
      <c r="H24" s="18">
        <f>35010.21+2990.5</f>
        <v>38000.71</v>
      </c>
      <c r="I24" s="18"/>
      <c r="J24" s="67">
        <f>SUM(I449)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732331.91</v>
      </c>
      <c r="G28" s="18">
        <v>3965.7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26460</v>
      </c>
      <c r="G30" s="18">
        <v>25165.53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1659840.99</v>
      </c>
      <c r="G32" s="41">
        <f>SUM(G22:G31)</f>
        <v>31123.46</v>
      </c>
      <c r="H32" s="41">
        <f>SUM(H22:H31)</f>
        <v>748189.1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29136.85</v>
      </c>
      <c r="G35" s="18">
        <v>54839.360000000001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254979.02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0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>
        <f>7820.66</f>
        <v>7820.66</v>
      </c>
      <c r="I47" s="18"/>
      <c r="J47" s="13">
        <f>SUM(I458)</f>
        <v>182497.08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134041</v>
      </c>
      <c r="G48" s="18"/>
      <c r="H48" s="18"/>
      <c r="I48" s="18"/>
      <c r="J48" s="13">
        <f>I453</f>
        <v>0</v>
      </c>
      <c r="K48" s="24"/>
      <c r="L48" s="24"/>
      <c r="M48" s="8"/>
      <c r="N48" s="270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3517568.3+584821.47</f>
        <v>4102389.7699999996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0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4265567.6199999992</v>
      </c>
      <c r="G50" s="41">
        <f>SUM(G35:G49)</f>
        <v>309818.38</v>
      </c>
      <c r="H50" s="41">
        <f>SUM(H35:H49)</f>
        <v>7820.66</v>
      </c>
      <c r="I50" s="41">
        <f>SUM(I35:I49)</f>
        <v>0</v>
      </c>
      <c r="J50" s="41">
        <f>SUM(J35:J49)</f>
        <v>182497.08</v>
      </c>
      <c r="K50" s="45" t="s">
        <v>289</v>
      </c>
      <c r="L50" s="45" t="s">
        <v>289</v>
      </c>
      <c r="N50" s="181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5925408.6099999994</v>
      </c>
      <c r="G51" s="41">
        <f>G50+G32</f>
        <v>340941.84</v>
      </c>
      <c r="H51" s="41">
        <f>H50+H32</f>
        <v>756009.76</v>
      </c>
      <c r="I51" s="41">
        <f>I50+I32</f>
        <v>0</v>
      </c>
      <c r="J51" s="41">
        <f>J50+J32</f>
        <v>182497.08</v>
      </c>
      <c r="K51" s="45" t="s">
        <v>289</v>
      </c>
      <c r="L51" s="45" t="s">
        <v>289</v>
      </c>
      <c r="M51" s="8"/>
      <c r="N51" s="270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0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0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0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0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38133486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0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1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38133486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1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0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368931.6+42515</f>
        <v>411446.6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12789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1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f>75526.9+3740</f>
        <v>79266.899999999994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0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2174.56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181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505677.06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0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0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0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0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0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0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0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3414.18</v>
      </c>
      <c r="G95" s="18"/>
      <c r="H95" s="18"/>
      <c r="I95" s="18">
        <v>0</v>
      </c>
      <c r="J95" s="18">
        <v>1697.67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761165.52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109458.7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504.26+68962.82+584821.47</f>
        <v>654288.54999999993</v>
      </c>
      <c r="G109" s="18"/>
      <c r="H109" s="18">
        <v>24576.16</v>
      </c>
      <c r="I109" s="18"/>
      <c r="J109" s="18"/>
      <c r="K109" s="24" t="s">
        <v>289</v>
      </c>
      <c r="L109" s="24" t="s">
        <v>289</v>
      </c>
      <c r="M109" s="8"/>
      <c r="N109" s="270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767161.42999999993</v>
      </c>
      <c r="G110" s="41">
        <f>SUM(G95:G109)</f>
        <v>761165.52</v>
      </c>
      <c r="H110" s="41">
        <f>SUM(H95:H109)</f>
        <v>24576.16</v>
      </c>
      <c r="I110" s="41">
        <f>SUM(I95:I109)</f>
        <v>0</v>
      </c>
      <c r="J110" s="41">
        <f>SUM(J95:J109)</f>
        <v>1697.67</v>
      </c>
      <c r="K110" s="45" t="s">
        <v>289</v>
      </c>
      <c r="L110" s="45" t="s">
        <v>289</v>
      </c>
      <c r="N110" s="181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39406324.490000002</v>
      </c>
      <c r="G111" s="41">
        <f>G59+G110</f>
        <v>761165.52</v>
      </c>
      <c r="H111" s="41">
        <f>H59+H78+H93+H110</f>
        <v>24576.16</v>
      </c>
      <c r="I111" s="41">
        <f>I59+I110</f>
        <v>0</v>
      </c>
      <c r="J111" s="41">
        <f>J59+J110</f>
        <v>1697.67</v>
      </c>
      <c r="K111" s="45" t="s">
        <v>289</v>
      </c>
      <c r="L111" s="45" t="s">
        <v>289</v>
      </c>
      <c r="M111" s="8"/>
      <c r="N111" s="270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0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0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0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0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27194827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5969646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0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33164473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0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0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734659.09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0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0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699434.51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18399.36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0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0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1434093.6</v>
      </c>
      <c r="G135" s="41">
        <f>SUM(G122:G134)</f>
        <v>18399.36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0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0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34598566.600000001</v>
      </c>
      <c r="G139" s="41">
        <f>G120+SUM(G135:G136)</f>
        <v>18399.36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0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0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0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0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0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0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0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763871.22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61327.11+2111114.36-763871.22</f>
        <v>1408570.2499999998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73704.22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431212.26+83719.96+2962.73+57921.29</f>
        <v>575816.24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504386.75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504386.75</v>
      </c>
      <c r="G161" s="41">
        <f>SUM(G149:G160)</f>
        <v>575816.24</v>
      </c>
      <c r="H161" s="41">
        <f>SUM(H149:H160)</f>
        <v>2246145.69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0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0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504386.75</v>
      </c>
      <c r="G168" s="41">
        <f>G146+G161+SUM(G162:G167)</f>
        <v>575816.24</v>
      </c>
      <c r="H168" s="41">
        <f>H146+H161+SUM(H162:H167)</f>
        <v>2246145.69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0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0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0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0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0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0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0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0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0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181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181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0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0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74509277.840000004</v>
      </c>
      <c r="G192" s="47">
        <f>G111+G139+G168+G191</f>
        <v>1355381.12</v>
      </c>
      <c r="H192" s="47">
        <f>H111+H139+H168+H191</f>
        <v>2270721.85</v>
      </c>
      <c r="I192" s="47">
        <f>I111+I139+I168+I191</f>
        <v>0</v>
      </c>
      <c r="J192" s="47">
        <f>J111+J139+J191</f>
        <v>1697.67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0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0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0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7412206.23+54305.92+237765.92+166518.24</f>
        <v>7870796.3100000005</v>
      </c>
      <c r="G196" s="18">
        <f>2215996.18+171145.88+13590+14772.09+6170.77+855073.73+553074.77+16720.65+17196.75+31274.88+143200</f>
        <v>4038215.6999999997</v>
      </c>
      <c r="H196" s="18">
        <f>1095+390+90</f>
        <v>1575</v>
      </c>
      <c r="I196" s="18">
        <v>86996.55</v>
      </c>
      <c r="J196" s="18"/>
      <c r="K196" s="18"/>
      <c r="L196" s="19">
        <f>SUM(F196:K196)</f>
        <v>11997583.560000001</v>
      </c>
      <c r="M196" s="8"/>
      <c r="N196" s="270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3303040.68+175866.92</f>
        <v>3478907.6</v>
      </c>
      <c r="G197" s="18">
        <f>1476611.97+46780.86</f>
        <v>1523392.83</v>
      </c>
      <c r="H197" s="18">
        <f>973.98+27+766.08+874051.37</f>
        <v>875818.43</v>
      </c>
      <c r="I197" s="18">
        <f>8515.34+2469.7</f>
        <v>10985.04</v>
      </c>
      <c r="J197" s="18">
        <f>249.02+3142.32</f>
        <v>3391.34</v>
      </c>
      <c r="K197" s="18">
        <v>3261.04</v>
      </c>
      <c r="L197" s="19">
        <f>SUM(F197:K197)</f>
        <v>5895756.2799999993</v>
      </c>
      <c r="M197" s="8"/>
      <c r="N197" s="270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/>
      <c r="I198" s="18">
        <v>0</v>
      </c>
      <c r="J198" s="18"/>
      <c r="K198" s="18"/>
      <c r="L198" s="19">
        <f>SUM(F198:K198)</f>
        <v>0</v>
      </c>
      <c r="M198" s="8"/>
      <c r="N198" s="270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42323.01</v>
      </c>
      <c r="G199" s="18">
        <v>7153.49</v>
      </c>
      <c r="H199" s="18"/>
      <c r="I199" s="18">
        <v>540.5</v>
      </c>
      <c r="J199" s="18"/>
      <c r="K199" s="18"/>
      <c r="L199" s="19">
        <f>SUM(F199:K199)</f>
        <v>50017</v>
      </c>
      <c r="M199" s="8"/>
      <c r="N199" s="270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0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1031032.23+945456.7+8946.2</f>
        <v>1985435.13</v>
      </c>
      <c r="G201" s="18">
        <f>510993.5+461626.71+684.36</f>
        <v>973304.57</v>
      </c>
      <c r="H201" s="18">
        <f>10252.93+320267.91+26760.9+7183.15+337.58</f>
        <v>364802.47000000003</v>
      </c>
      <c r="I201" s="18">
        <f>6000.07+9790.59</f>
        <v>15790.66</v>
      </c>
      <c r="J201" s="18"/>
      <c r="K201" s="18"/>
      <c r="L201" s="19">
        <f t="shared" ref="L201:L207" si="0">SUM(F201:K201)</f>
        <v>3339332.83</v>
      </c>
      <c r="M201" s="8"/>
      <c r="N201" s="270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190678.4+251705.47</f>
        <v>442383.87</v>
      </c>
      <c r="G202" s="18">
        <f>63824.24+169774.75+3556.45</f>
        <v>237155.44</v>
      </c>
      <c r="H202" s="18">
        <f>16855.52+2723.7+92248.1+11072.83</f>
        <v>122900.15000000001</v>
      </c>
      <c r="I202" s="18">
        <f>21904.22+58612.33+160</f>
        <v>80676.55</v>
      </c>
      <c r="J202" s="18">
        <v>44814.23</v>
      </c>
      <c r="K202" s="18">
        <f>139.52</f>
        <v>139.52000000000001</v>
      </c>
      <c r="L202" s="19">
        <f t="shared" si="0"/>
        <v>928069.76000000013</v>
      </c>
      <c r="M202" s="8"/>
      <c r="N202" s="270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301955.5</v>
      </c>
      <c r="G203" s="18">
        <v>135449.37</v>
      </c>
      <c r="H203" s="18">
        <f>41856.26+3475.94+12551.07+614.4</f>
        <v>58497.670000000006</v>
      </c>
      <c r="I203" s="18">
        <v>8838.7800000000007</v>
      </c>
      <c r="J203" s="18"/>
      <c r="K203" s="18">
        <v>9775.31</v>
      </c>
      <c r="L203" s="19">
        <f t="shared" si="0"/>
        <v>514516.63</v>
      </c>
      <c r="M203" s="8"/>
      <c r="N203" s="270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1149133.43</v>
      </c>
      <c r="G204" s="18">
        <f>620245.25+19516.57</f>
        <v>639761.81999999995</v>
      </c>
      <c r="H204" s="18">
        <f>2735.31+43379.31+5559.23</f>
        <v>51673.849999999991</v>
      </c>
      <c r="I204" s="18">
        <f>15223.99+585</f>
        <v>15808.99</v>
      </c>
      <c r="J204" s="18"/>
      <c r="K204" s="18">
        <v>7556</v>
      </c>
      <c r="L204" s="19">
        <f t="shared" si="0"/>
        <v>1863934.09</v>
      </c>
      <c r="M204" s="8"/>
      <c r="N204" s="270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192239.32</v>
      </c>
      <c r="G205" s="18">
        <v>97915.16</v>
      </c>
      <c r="H205" s="18">
        <f>268.8+1296</f>
        <v>1564.8</v>
      </c>
      <c r="I205" s="18">
        <v>3237.88</v>
      </c>
      <c r="J205" s="18"/>
      <c r="K205" s="18">
        <v>2650</v>
      </c>
      <c r="L205" s="19">
        <f t="shared" si="0"/>
        <v>297607.15999999997</v>
      </c>
      <c r="M205" s="8"/>
      <c r="N205" s="270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739355.91+201430.92</f>
        <v>940786.83000000007</v>
      </c>
      <c r="G206" s="18">
        <f>397732.51+117293.48</f>
        <v>515025.99</v>
      </c>
      <c r="H206" s="18">
        <f>68543.94+232913.21+39291.46+90746.48+6000+70096.64</f>
        <v>507591.73000000004</v>
      </c>
      <c r="I206" s="18">
        <f>586574.49+93384.36+67.51</f>
        <v>680026.36</v>
      </c>
      <c r="J206" s="18"/>
      <c r="K206" s="18"/>
      <c r="L206" s="19">
        <f t="shared" si="0"/>
        <v>2643430.91</v>
      </c>
      <c r="M206" s="8"/>
      <c r="N206" s="270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943128.76+385246.78+287.98+94.5</f>
        <v>1328758.02</v>
      </c>
      <c r="I207" s="18"/>
      <c r="J207" s="18"/>
      <c r="K207" s="18"/>
      <c r="L207" s="19">
        <f t="shared" si="0"/>
        <v>1328758.02</v>
      </c>
      <c r="M207" s="8"/>
      <c r="N207" s="270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>
        <f>46341.84+15789.25+27604.8+17280+3185.92</f>
        <v>110201.81</v>
      </c>
      <c r="J208" s="18"/>
      <c r="K208" s="18"/>
      <c r="L208" s="19">
        <f>SUM(F208:K208)</f>
        <v>110201.81</v>
      </c>
      <c r="M208" s="8"/>
      <c r="N208" s="270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0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16403961</v>
      </c>
      <c r="G210" s="41">
        <f t="shared" si="1"/>
        <v>8167374.370000001</v>
      </c>
      <c r="H210" s="41">
        <f t="shared" si="1"/>
        <v>3313182.12</v>
      </c>
      <c r="I210" s="41">
        <f t="shared" si="1"/>
        <v>1013103.1199999999</v>
      </c>
      <c r="J210" s="41">
        <f t="shared" si="1"/>
        <v>48205.570000000007</v>
      </c>
      <c r="K210" s="41">
        <f t="shared" si="1"/>
        <v>23381.87</v>
      </c>
      <c r="L210" s="41">
        <f t="shared" si="1"/>
        <v>28969208.050000001</v>
      </c>
      <c r="M210" s="8"/>
      <c r="N210" s="270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0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0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0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4686031.49+15868.8+30547.08+93666.51</f>
        <v>4826113.88</v>
      </c>
      <c r="G214" s="18">
        <f>1208349.94+537.81+43018.08+55087.22+8529.6+5908.86+3471.06+537023.68+1232.92+148640.2+191186.3+9405.37+17592.12+47500</f>
        <v>2277483.1600000006</v>
      </c>
      <c r="H214" s="18">
        <f>707.5+344.15</f>
        <v>1051.6500000000001</v>
      </c>
      <c r="I214" s="18">
        <v>47863.54</v>
      </c>
      <c r="J214" s="18">
        <v>4882.32</v>
      </c>
      <c r="K214" s="18"/>
      <c r="L214" s="19">
        <f>SUM(F214:K214)</f>
        <v>7157394.5500000017</v>
      </c>
      <c r="M214" s="8"/>
      <c r="N214" s="270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1616680.67+98925.14</f>
        <v>1715605.8099999998</v>
      </c>
      <c r="G215" s="18">
        <f>696470.38+26314.24</f>
        <v>722784.62</v>
      </c>
      <c r="H215" s="18">
        <f>547.86+430.92+342706.93</f>
        <v>343685.71</v>
      </c>
      <c r="I215" s="18">
        <f>2317.84+1389.21</f>
        <v>3707.05</v>
      </c>
      <c r="J215" s="18">
        <v>1767.56</v>
      </c>
      <c r="K215" s="18">
        <v>1834.34</v>
      </c>
      <c r="L215" s="19">
        <f>SUM(F215:K215)</f>
        <v>2789385.0899999994</v>
      </c>
      <c r="M215" s="8"/>
      <c r="N215" s="270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149049.04999999999</v>
      </c>
      <c r="G217" s="18">
        <v>22684.54</v>
      </c>
      <c r="H217" s="18">
        <v>18463.84</v>
      </c>
      <c r="I217" s="18">
        <f>9145.97+162.67</f>
        <v>9308.64</v>
      </c>
      <c r="J217" s="18">
        <v>7572.13</v>
      </c>
      <c r="K217" s="18">
        <v>4331.5</v>
      </c>
      <c r="L217" s="19">
        <f>SUM(F217:K217)</f>
        <v>211409.7</v>
      </c>
      <c r="M217" s="8"/>
      <c r="N217" s="270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0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683312.2+531819.4+5032.24</f>
        <v>1220163.8400000001</v>
      </c>
      <c r="G219" s="18">
        <f>286266.47+259665.03+384.96+118.43</f>
        <v>546434.89</v>
      </c>
      <c r="H219" s="18">
        <f>128079.56+10704.36+5767.27+11249.01+4040.52+189.89</f>
        <v>160030.60999999999</v>
      </c>
      <c r="I219" s="18">
        <f>3884.07+5507.2</f>
        <v>9391.27</v>
      </c>
      <c r="J219" s="18"/>
      <c r="K219" s="18"/>
      <c r="L219" s="19">
        <f t="shared" ref="L219:L225" si="2">SUM(F219:K219)</f>
        <v>1936020.6099999999</v>
      </c>
      <c r="M219" s="8"/>
      <c r="N219" s="270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17079.18+141584.33</f>
        <v>158663.50999999998</v>
      </c>
      <c r="G220" s="18">
        <f>3579.83+95498.3+2000.5</f>
        <v>101078.63</v>
      </c>
      <c r="H220" s="18">
        <f>11899.08+1532.08+5205.76+6228.46</f>
        <v>24865.379999999997</v>
      </c>
      <c r="I220" s="18">
        <f>12834+32969.44+90</f>
        <v>45893.440000000002</v>
      </c>
      <c r="J220" s="18">
        <v>25208</v>
      </c>
      <c r="K220" s="18">
        <f>300+78.48</f>
        <v>378.48</v>
      </c>
      <c r="L220" s="19">
        <f t="shared" si="2"/>
        <v>356087.43999999994</v>
      </c>
      <c r="M220" s="8"/>
      <c r="N220" s="270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169849.97</v>
      </c>
      <c r="G221" s="18">
        <v>76190.27</v>
      </c>
      <c r="H221" s="18">
        <f>23544.15+1955.21+7059.97+345.6</f>
        <v>32904.93</v>
      </c>
      <c r="I221" s="18">
        <v>4971.82</v>
      </c>
      <c r="J221" s="18"/>
      <c r="K221" s="18">
        <v>5498.61</v>
      </c>
      <c r="L221" s="19">
        <f t="shared" si="2"/>
        <v>289415.59999999998</v>
      </c>
      <c r="M221" s="8"/>
      <c r="N221" s="270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f>741158.03</f>
        <v>741158.03</v>
      </c>
      <c r="G222" s="18">
        <f>10978.07+385851.51</f>
        <v>396829.58</v>
      </c>
      <c r="H222" s="18">
        <f>5530.92+29334.24+4540.98</f>
        <v>39406.14</v>
      </c>
      <c r="I222" s="18">
        <v>9495.06</v>
      </c>
      <c r="J222" s="18"/>
      <c r="K222" s="18">
        <v>4306.5</v>
      </c>
      <c r="L222" s="19">
        <f t="shared" si="2"/>
        <v>1191195.31</v>
      </c>
      <c r="M222" s="8"/>
      <c r="N222" s="270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108134.62</v>
      </c>
      <c r="G223" s="18">
        <v>55077.279999999999</v>
      </c>
      <c r="H223" s="18">
        <f>729+151.2</f>
        <v>880.2</v>
      </c>
      <c r="I223" s="18">
        <v>1821.31</v>
      </c>
      <c r="J223" s="18"/>
      <c r="K223" s="18">
        <v>1490.65</v>
      </c>
      <c r="L223" s="19">
        <f t="shared" si="2"/>
        <v>167404.06</v>
      </c>
      <c r="M223" s="8"/>
      <c r="N223" s="270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356711.9+113304.89</f>
        <v>470016.79000000004</v>
      </c>
      <c r="G224" s="18">
        <f>152427.93+65977.58</f>
        <v>218405.51</v>
      </c>
      <c r="H224" s="18">
        <f>22877.18+51044.89+55802.17+131013.68+2400+39429.36</f>
        <v>302567.27999999997</v>
      </c>
      <c r="I224" s="18">
        <f>400106.44+52528.7+37.97</f>
        <v>452673.11</v>
      </c>
      <c r="J224" s="18"/>
      <c r="K224" s="18"/>
      <c r="L224" s="19">
        <f t="shared" si="2"/>
        <v>1443662.69</v>
      </c>
      <c r="M224" s="8"/>
      <c r="N224" s="270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655838.24+270492.42+161.99-94.5</f>
        <v>926398.14999999991</v>
      </c>
      <c r="I225" s="18"/>
      <c r="J225" s="18"/>
      <c r="K225" s="18"/>
      <c r="L225" s="19">
        <f t="shared" si="2"/>
        <v>926398.14999999991</v>
      </c>
      <c r="M225" s="8"/>
      <c r="N225" s="270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>
        <f>15527.7+22157.71+8881.45+9720+1792.08</f>
        <v>58078.94</v>
      </c>
      <c r="J226" s="18"/>
      <c r="K226" s="18"/>
      <c r="L226" s="19">
        <f>SUM(F226:K226)</f>
        <v>58078.94</v>
      </c>
      <c r="M226" s="8"/>
      <c r="N226" s="270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0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9558755.4999999963</v>
      </c>
      <c r="G228" s="41">
        <f>SUM(G214:G227)</f>
        <v>4416968.4800000004</v>
      </c>
      <c r="H228" s="41">
        <f>SUM(H214:H227)</f>
        <v>1850253.89</v>
      </c>
      <c r="I228" s="41">
        <f>SUM(I214:I227)</f>
        <v>643204.17999999993</v>
      </c>
      <c r="J228" s="41">
        <f>SUM(J214:J227)</f>
        <v>39430.009999999995</v>
      </c>
      <c r="K228" s="41">
        <f t="shared" si="3"/>
        <v>17840.080000000002</v>
      </c>
      <c r="L228" s="41">
        <f t="shared" si="3"/>
        <v>16526452.139999999</v>
      </c>
      <c r="M228" s="8"/>
      <c r="N228" s="270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0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0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0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20296727.36+7095</f>
        <v>20303822.359999999</v>
      </c>
      <c r="I232" s="18"/>
      <c r="J232" s="18"/>
      <c r="K232" s="18"/>
      <c r="L232" s="19">
        <f>SUM(F232:K232)</f>
        <v>20303822.359999999</v>
      </c>
      <c r="M232" s="8"/>
      <c r="N232" s="270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5201487.1100000003</v>
      </c>
      <c r="I233" s="18"/>
      <c r="J233" s="18"/>
      <c r="K233" s="18"/>
      <c r="L233" s="19">
        <f>SUM(F233:K233)</f>
        <v>5201487.1100000003</v>
      </c>
      <c r="M233" s="8"/>
      <c r="N233" s="270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0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139220.75+11637.31</f>
        <v>150858.06</v>
      </c>
      <c r="I237" s="18"/>
      <c r="J237" s="18"/>
      <c r="K237" s="18"/>
      <c r="L237" s="19">
        <f t="shared" ref="L237:L243" si="4">SUM(F237:K237)</f>
        <v>150858.06</v>
      </c>
      <c r="M237" s="8"/>
      <c r="N237" s="270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0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406239.75+163934.79-449.97</f>
        <v>569724.57000000007</v>
      </c>
      <c r="I243" s="18"/>
      <c r="J243" s="18"/>
      <c r="K243" s="18"/>
      <c r="L243" s="19">
        <f t="shared" si="4"/>
        <v>569724.57000000007</v>
      </c>
      <c r="M243" s="8"/>
      <c r="N243" s="270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0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0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26225892.099999998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26225892.099999998</v>
      </c>
      <c r="M246" s="8"/>
      <c r="N246" s="270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0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0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0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f>21752+41044.75</f>
        <v>62796.75</v>
      </c>
      <c r="G250" s="18">
        <f>114+121.19+4794.86+191.84</f>
        <v>5221.8899999999994</v>
      </c>
      <c r="H250" s="18">
        <f>5329.74+1382.5+352.56+4177.87</f>
        <v>11242.67</v>
      </c>
      <c r="I250" s="18">
        <f>4921.04</f>
        <v>4921.04</v>
      </c>
      <c r="J250" s="18"/>
      <c r="K250" s="18"/>
      <c r="L250" s="19">
        <f t="shared" si="6"/>
        <v>84182.349999999991</v>
      </c>
      <c r="M250" s="8"/>
      <c r="N250" s="270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62796.75</v>
      </c>
      <c r="G255" s="41">
        <f t="shared" si="7"/>
        <v>5221.8899999999994</v>
      </c>
      <c r="H255" s="41">
        <f t="shared" si="7"/>
        <v>11242.67</v>
      </c>
      <c r="I255" s="41">
        <f t="shared" si="7"/>
        <v>4921.04</v>
      </c>
      <c r="J255" s="41">
        <f t="shared" si="7"/>
        <v>0</v>
      </c>
      <c r="K255" s="41">
        <f t="shared" si="7"/>
        <v>0</v>
      </c>
      <c r="L255" s="41">
        <f>SUM(F255:K255)</f>
        <v>84182.349999999991</v>
      </c>
      <c r="M255" s="8"/>
      <c r="N255" s="270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26025513.249999996</v>
      </c>
      <c r="G256" s="41">
        <f t="shared" si="8"/>
        <v>12589564.740000002</v>
      </c>
      <c r="H256" s="41">
        <f t="shared" si="8"/>
        <v>31400570.780000001</v>
      </c>
      <c r="I256" s="41">
        <f t="shared" si="8"/>
        <v>1661228.3399999999</v>
      </c>
      <c r="J256" s="41">
        <f t="shared" si="8"/>
        <v>87635.58</v>
      </c>
      <c r="K256" s="41">
        <f t="shared" si="8"/>
        <v>41221.949999999997</v>
      </c>
      <c r="L256" s="41">
        <f t="shared" si="8"/>
        <v>71805734.639999986</v>
      </c>
      <c r="M256" s="8"/>
      <c r="N256" s="270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0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0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1920000</v>
      </c>
      <c r="L259" s="19">
        <f>SUM(F259:K259)</f>
        <v>1920000</v>
      </c>
      <c r="M259" s="8"/>
      <c r="N259" s="270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649371.88</v>
      </c>
      <c r="L260" s="19">
        <f>SUM(F260:K260)</f>
        <v>649371.88</v>
      </c>
      <c r="N260" s="181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181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181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181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181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181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181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2569371.88</v>
      </c>
      <c r="L269" s="41">
        <f t="shared" si="9"/>
        <v>2569371.88</v>
      </c>
      <c r="N269" s="181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26025513.249999996</v>
      </c>
      <c r="G270" s="42">
        <f t="shared" si="11"/>
        <v>12589564.740000002</v>
      </c>
      <c r="H270" s="42">
        <f t="shared" si="11"/>
        <v>31400570.780000001</v>
      </c>
      <c r="I270" s="42">
        <f t="shared" si="11"/>
        <v>1661228.3399999999</v>
      </c>
      <c r="J270" s="42">
        <f t="shared" si="11"/>
        <v>87635.58</v>
      </c>
      <c r="K270" s="42">
        <f t="shared" si="11"/>
        <v>2610593.83</v>
      </c>
      <c r="L270" s="42">
        <f t="shared" si="11"/>
        <v>74375106.519999981</v>
      </c>
      <c r="M270" s="8"/>
      <c r="N270" s="270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0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0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0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0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2400</v>
      </c>
      <c r="G275" s="18">
        <v>454.8</v>
      </c>
      <c r="H275" s="18"/>
      <c r="I275" s="18"/>
      <c r="J275" s="18"/>
      <c r="K275" s="18"/>
      <c r="L275" s="19">
        <f>SUM(F275:K275)</f>
        <v>2854.8</v>
      </c>
      <c r="M275" s="8"/>
      <c r="N275" s="270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104671.85+412341.2</f>
        <v>517013.05000000005</v>
      </c>
      <c r="G276" s="18">
        <f>186939.87</f>
        <v>186939.87</v>
      </c>
      <c r="H276" s="18"/>
      <c r="I276" s="18"/>
      <c r="J276" s="18"/>
      <c r="K276" s="18"/>
      <c r="L276" s="19">
        <f>SUM(F276:K276)</f>
        <v>703952.92</v>
      </c>
      <c r="M276" s="8"/>
      <c r="N276" s="270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0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>
        <f>20509.89+9981.74+9507.94+1309926.69+1942.22+3045-104671.85-412341.2-186939.87</f>
        <v>650960.55999999994</v>
      </c>
      <c r="I280" s="18"/>
      <c r="J280" s="18"/>
      <c r="K280" s="18"/>
      <c r="L280" s="19">
        <f t="shared" ref="L280:L286" si="12">SUM(F280:K280)</f>
        <v>650960.55999999994</v>
      </c>
      <c r="M280" s="8"/>
      <c r="N280" s="270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0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0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0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519413.05000000005</v>
      </c>
      <c r="G289" s="42">
        <f t="shared" si="13"/>
        <v>187394.66999999998</v>
      </c>
      <c r="H289" s="42">
        <f t="shared" si="13"/>
        <v>650960.55999999994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1357768.28</v>
      </c>
      <c r="M289" s="8"/>
      <c r="N289" s="270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0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0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0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0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0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58877.91+231941.93</f>
        <v>290819.83999999997</v>
      </c>
      <c r="G295" s="18">
        <v>105153.68</v>
      </c>
      <c r="H295" s="18"/>
      <c r="I295" s="18"/>
      <c r="J295" s="18"/>
      <c r="K295" s="18"/>
      <c r="L295" s="19">
        <f>SUM(F295:K295)</f>
        <v>395973.51999999996</v>
      </c>
      <c r="M295" s="8"/>
      <c r="N295" s="270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0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f>736833.76+2235.22+14676.36-58877.91-231941.93-105153.68</f>
        <v>357771.81999999995</v>
      </c>
      <c r="I299" s="18"/>
      <c r="J299" s="18"/>
      <c r="K299" s="18"/>
      <c r="L299" s="19">
        <f t="shared" ref="L299:L305" si="14">SUM(F299:K299)</f>
        <v>357771.81999999995</v>
      </c>
      <c r="M299" s="8"/>
      <c r="N299" s="270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0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0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0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290819.83999999997</v>
      </c>
      <c r="G308" s="42">
        <f t="shared" si="15"/>
        <v>105153.68</v>
      </c>
      <c r="H308" s="42">
        <f t="shared" si="15"/>
        <v>357771.81999999995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753745.33999999985</v>
      </c>
      <c r="N308" s="181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0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0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0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0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0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0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>
        <f>7016.92+17309.37+61327.11+287.05+28.05</f>
        <v>85968.5</v>
      </c>
      <c r="I318" s="18"/>
      <c r="J318" s="18"/>
      <c r="K318" s="18"/>
      <c r="L318" s="19">
        <f t="shared" ref="L318:L324" si="16">SUM(F318:K318)</f>
        <v>85968.5</v>
      </c>
      <c r="M318" s="8"/>
      <c r="N318" s="270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0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0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0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85968.5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85968.5</v>
      </c>
      <c r="M327" s="8"/>
      <c r="N327" s="270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0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0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0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0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58025</v>
      </c>
      <c r="G332" s="18">
        <v>4779.03</v>
      </c>
      <c r="H332" s="18">
        <f>750+3483.39</f>
        <v>4233.3899999999994</v>
      </c>
      <c r="I332" s="18">
        <v>5385.49</v>
      </c>
      <c r="J332" s="18"/>
      <c r="K332" s="18">
        <f>380.23+901.08</f>
        <v>1281.31</v>
      </c>
      <c r="L332" s="19">
        <f t="shared" si="18"/>
        <v>73704.22</v>
      </c>
      <c r="M332" s="8"/>
      <c r="N332" s="270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58025</v>
      </c>
      <c r="G336" s="41">
        <f t="shared" si="19"/>
        <v>4779.03</v>
      </c>
      <c r="H336" s="41">
        <f t="shared" si="19"/>
        <v>4233.3899999999994</v>
      </c>
      <c r="I336" s="41">
        <f t="shared" si="19"/>
        <v>5385.49</v>
      </c>
      <c r="J336" s="41">
        <f t="shared" si="19"/>
        <v>0</v>
      </c>
      <c r="K336" s="41">
        <f t="shared" si="19"/>
        <v>1281.31</v>
      </c>
      <c r="L336" s="41">
        <f t="shared" si="18"/>
        <v>73704.22</v>
      </c>
      <c r="M336" s="8"/>
      <c r="N336" s="270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868257.89</v>
      </c>
      <c r="G337" s="41">
        <f t="shared" si="20"/>
        <v>297327.38</v>
      </c>
      <c r="H337" s="41">
        <f t="shared" si="20"/>
        <v>1098934.2699999998</v>
      </c>
      <c r="I337" s="41">
        <f t="shared" si="20"/>
        <v>5385.49</v>
      </c>
      <c r="J337" s="41">
        <f t="shared" si="20"/>
        <v>0</v>
      </c>
      <c r="K337" s="41">
        <f t="shared" si="20"/>
        <v>1281.31</v>
      </c>
      <c r="L337" s="41">
        <f t="shared" si="20"/>
        <v>2271186.3400000003</v>
      </c>
      <c r="M337" s="8"/>
      <c r="N337" s="270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0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0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0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17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0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0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0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0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0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868257.89</v>
      </c>
      <c r="G351" s="41">
        <f>G337</f>
        <v>297327.38</v>
      </c>
      <c r="H351" s="41">
        <f>H337</f>
        <v>1098934.2699999998</v>
      </c>
      <c r="I351" s="41">
        <f>I337</f>
        <v>5385.49</v>
      </c>
      <c r="J351" s="41">
        <f>J337</f>
        <v>0</v>
      </c>
      <c r="K351" s="47">
        <f>K337+K350</f>
        <v>1281.31</v>
      </c>
      <c r="L351" s="41">
        <f>L337+L350</f>
        <v>2271186.3400000003</v>
      </c>
      <c r="M351" s="52"/>
      <c r="N351" s="217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0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0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0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0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423711.08+39360.28-166705.69</f>
        <v>296365.67</v>
      </c>
      <c r="G357" s="18">
        <f>140790.97+12218.19+614.04+772+33011.54+18656.71+3000-75262.84</f>
        <v>133800.61000000002</v>
      </c>
      <c r="H357" s="18">
        <f>34.84+3376+1191.5+2832.5+389+2621.25+2559+1797.46+411.28+9684.46+437.84-9120.65</f>
        <v>16214.480000000001</v>
      </c>
      <c r="I357" s="18">
        <f>6899.83+465.22+2279.47+56942.46+20274.25+47812.12+44795.24+76615.61+99660.99+119144.24+50606.4+57921.29+7422.14+4231.01+7298.83+5054.4+4196.42+5053.38+3630.5+5563.02-225312.06</f>
        <v>400554.76000000007</v>
      </c>
      <c r="J357" s="18">
        <v>0</v>
      </c>
      <c r="K357" s="18">
        <f>995-358.2</f>
        <v>636.79999999999995</v>
      </c>
      <c r="L357" s="13">
        <f>SUM(F357:K357)</f>
        <v>847572.32000000007</v>
      </c>
      <c r="N357" s="181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166705.69</v>
      </c>
      <c r="G358" s="18">
        <v>75262.84</v>
      </c>
      <c r="H358" s="18">
        <v>9120.65</v>
      </c>
      <c r="I358" s="18">
        <v>225312.06</v>
      </c>
      <c r="J358" s="18">
        <v>0</v>
      </c>
      <c r="K358" s="18">
        <v>358.2</v>
      </c>
      <c r="L358" s="19">
        <f>SUM(F358:K358)</f>
        <v>476759.44</v>
      </c>
      <c r="M358" s="8"/>
      <c r="N358" s="270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0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463071.36</v>
      </c>
      <c r="G361" s="47">
        <f t="shared" si="22"/>
        <v>209063.45</v>
      </c>
      <c r="H361" s="47">
        <f t="shared" si="22"/>
        <v>25335.13</v>
      </c>
      <c r="I361" s="47">
        <f t="shared" si="22"/>
        <v>625866.82000000007</v>
      </c>
      <c r="J361" s="47">
        <f t="shared" si="22"/>
        <v>0</v>
      </c>
      <c r="K361" s="47">
        <f t="shared" si="22"/>
        <v>995</v>
      </c>
      <c r="L361" s="47">
        <f t="shared" si="22"/>
        <v>1324331.76</v>
      </c>
      <c r="M361" s="8"/>
      <c r="N361" s="270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0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0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0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367214.46</v>
      </c>
      <c r="G366" s="18">
        <v>206558.14</v>
      </c>
      <c r="H366" s="18">
        <v>0</v>
      </c>
      <c r="I366" s="56">
        <f>SUM(F366:H366)</f>
        <v>573772.60000000009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33340.300000000003</v>
      </c>
      <c r="G367" s="63">
        <v>18753.919999999998</v>
      </c>
      <c r="H367" s="63">
        <v>0</v>
      </c>
      <c r="I367" s="56">
        <f>SUM(F367:H367)</f>
        <v>52094.22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400554.76</v>
      </c>
      <c r="G368" s="47">
        <f>SUM(G366:G367)</f>
        <v>225312.06</v>
      </c>
      <c r="H368" s="47">
        <f>SUM(H366:H367)</f>
        <v>0</v>
      </c>
      <c r="I368" s="47">
        <f>SUM(I366:I367)</f>
        <v>625866.82000000007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0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0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0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0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0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0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0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0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0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0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0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0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0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0</v>
      </c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1697.67</v>
      </c>
      <c r="I391" s="18"/>
      <c r="J391" s="24" t="s">
        <v>289</v>
      </c>
      <c r="K391" s="24" t="s">
        <v>289</v>
      </c>
      <c r="L391" s="56">
        <f t="shared" si="25"/>
        <v>1697.67</v>
      </c>
      <c r="M391" s="8"/>
      <c r="N391" s="270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1697.67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1697.67</v>
      </c>
      <c r="M392" s="8"/>
      <c r="N392" s="270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0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0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0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0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0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0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1697.67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1697.67</v>
      </c>
      <c r="M407" s="8"/>
      <c r="N407" s="270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0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0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0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0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0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17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>
        <v>181087.52</v>
      </c>
      <c r="L414" s="56">
        <f t="shared" si="27"/>
        <v>181087.52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0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181087.52</v>
      </c>
      <c r="L418" s="47">
        <f t="shared" si="28"/>
        <v>181087.52</v>
      </c>
      <c r="M418" s="8"/>
      <c r="N418" s="270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0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0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0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0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181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0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0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181087.52</v>
      </c>
      <c r="L433" s="47">
        <f t="shared" si="32"/>
        <v>181087.52</v>
      </c>
      <c r="M433" s="8"/>
      <c r="N433" s="270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0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0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0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0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182497.08</v>
      </c>
      <c r="G440" s="18"/>
      <c r="H440" s="18"/>
      <c r="I440" s="56">
        <f t="shared" si="33"/>
        <v>182497.08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182497.08</v>
      </c>
      <c r="G445" s="13">
        <f>SUM(G438:G444)</f>
        <v>0</v>
      </c>
      <c r="H445" s="13">
        <f>SUM(H438:H444)</f>
        <v>0</v>
      </c>
      <c r="I445" s="13">
        <f>SUM(I438:I444)</f>
        <v>182497.08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0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0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17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182497.08</v>
      </c>
      <c r="G458" s="18"/>
      <c r="H458" s="18"/>
      <c r="I458" s="56">
        <f t="shared" si="34"/>
        <v>182497.08</v>
      </c>
      <c r="J458" s="24" t="s">
        <v>289</v>
      </c>
      <c r="K458" s="24" t="s">
        <v>289</v>
      </c>
      <c r="L458" s="24" t="s">
        <v>289</v>
      </c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182497.08</v>
      </c>
      <c r="G459" s="83">
        <f>SUM(G453:G458)</f>
        <v>0</v>
      </c>
      <c r="H459" s="83">
        <f>SUM(H453:H458)</f>
        <v>0</v>
      </c>
      <c r="I459" s="83">
        <f>SUM(I453:I458)</f>
        <v>182497.08</v>
      </c>
      <c r="J459" s="24" t="s">
        <v>289</v>
      </c>
      <c r="K459" s="24" t="s">
        <v>289</v>
      </c>
      <c r="L459" s="24" t="s">
        <v>289</v>
      </c>
      <c r="N459" s="217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182497.08</v>
      </c>
      <c r="G460" s="42">
        <f>G451+G459</f>
        <v>0</v>
      </c>
      <c r="H460" s="42">
        <f>H451+H459</f>
        <v>0</v>
      </c>
      <c r="I460" s="42">
        <f>I451+I459</f>
        <v>182497.08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17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17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17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4131396.3</v>
      </c>
      <c r="G464" s="18">
        <v>278769.02</v>
      </c>
      <c r="H464" s="18">
        <v>8285.15</v>
      </c>
      <c r="I464" s="18"/>
      <c r="J464" s="18">
        <v>361886.93</v>
      </c>
      <c r="K464" s="24" t="s">
        <v>289</v>
      </c>
      <c r="L464" s="24" t="s">
        <v>289</v>
      </c>
      <c r="N464" s="217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73924456.37+584821.47</f>
        <v>74509277.840000004</v>
      </c>
      <c r="G467" s="18">
        <v>1355381.12</v>
      </c>
      <c r="H467" s="18">
        <f>2184818.58+61327.11+24576.16</f>
        <v>2270721.85</v>
      </c>
      <c r="I467" s="18"/>
      <c r="J467" s="18">
        <v>1697.67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74509277.840000004</v>
      </c>
      <c r="G469" s="53">
        <f>SUM(G467:G468)</f>
        <v>1355381.12</v>
      </c>
      <c r="H469" s="53">
        <f>SUM(H467:H468)</f>
        <v>2270721.85</v>
      </c>
      <c r="I469" s="53">
        <f>SUM(I467:I468)</f>
        <v>0</v>
      </c>
      <c r="J469" s="53">
        <f>SUM(J467:J468)</f>
        <v>1697.67</v>
      </c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74194102.27+181004.25</f>
        <v>74375106.519999996</v>
      </c>
      <c r="G471" s="18">
        <v>1324331.76</v>
      </c>
      <c r="H471" s="18">
        <f>2184790.53+61327.11+25040.65+28.05</f>
        <v>2271186.3399999994</v>
      </c>
      <c r="I471" s="18"/>
      <c r="J471" s="18">
        <v>181087.52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74375106.519999996</v>
      </c>
      <c r="G473" s="53">
        <f>SUM(G471:G472)</f>
        <v>1324331.76</v>
      </c>
      <c r="H473" s="53">
        <f>SUM(H471:H472)</f>
        <v>2271186.3399999994</v>
      </c>
      <c r="I473" s="53">
        <f>SUM(I471:I472)</f>
        <v>0</v>
      </c>
      <c r="J473" s="53">
        <f>SUM(J471:J472)</f>
        <v>181087.52</v>
      </c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4265567.6200000048</v>
      </c>
      <c r="G475" s="53">
        <f>(G464+G469)- G473</f>
        <v>309818.38000000012</v>
      </c>
      <c r="H475" s="53">
        <f>(H464+H469)- H473</f>
        <v>7820.6600000006147</v>
      </c>
      <c r="I475" s="53">
        <f>(I464+I469)- I473</f>
        <v>0</v>
      </c>
      <c r="J475" s="53">
        <f>(J464+J469)- J473</f>
        <v>182497.08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17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17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17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17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17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17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17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17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17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17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>
        <v>20</v>
      </c>
      <c r="I489" s="154">
        <v>10</v>
      </c>
      <c r="J489" s="154"/>
      <c r="K489" s="24" t="s">
        <v>289</v>
      </c>
      <c r="L489" s="24" t="s">
        <v>289</v>
      </c>
      <c r="N489" s="217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910</v>
      </c>
      <c r="H490" s="155" t="s">
        <v>911</v>
      </c>
      <c r="I490" s="155" t="s">
        <v>912</v>
      </c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913</v>
      </c>
      <c r="G491" s="155" t="s">
        <v>913</v>
      </c>
      <c r="H491" s="155" t="s">
        <v>914</v>
      </c>
      <c r="I491" s="155" t="s">
        <v>915</v>
      </c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6375000</v>
      </c>
      <c r="G492" s="18">
        <v>2125000</v>
      </c>
      <c r="H492" s="18">
        <v>23959000</v>
      </c>
      <c r="I492" s="18">
        <v>2355000</v>
      </c>
      <c r="J492" s="18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5.2</v>
      </c>
      <c r="G493" s="18">
        <v>5.3</v>
      </c>
      <c r="H493" s="18">
        <v>3.75</v>
      </c>
      <c r="I493" s="18">
        <v>2.2200000000000002</v>
      </c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640000</v>
      </c>
      <c r="G494" s="18">
        <v>210000</v>
      </c>
      <c r="H494" s="18">
        <v>14400000</v>
      </c>
      <c r="I494" s="18">
        <v>2195000</v>
      </c>
      <c r="J494" s="18"/>
      <c r="K494" s="53">
        <f>SUM(F494:J494)</f>
        <v>17445000</v>
      </c>
      <c r="L494" s="24" t="s">
        <v>289</v>
      </c>
      <c r="N494" s="217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/>
      <c r="K495" s="53">
        <f t="shared" ref="K495:K502" si="35"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320000</v>
      </c>
      <c r="G496" s="18">
        <v>105000</v>
      </c>
      <c r="H496" s="18">
        <v>1200000</v>
      </c>
      <c r="I496" s="18">
        <v>295000</v>
      </c>
      <c r="J496" s="18"/>
      <c r="K496" s="53">
        <f t="shared" si="35"/>
        <v>1920000</v>
      </c>
      <c r="L496" s="24" t="s">
        <v>289</v>
      </c>
      <c r="N496" s="217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320000</v>
      </c>
      <c r="G497" s="204">
        <v>105000</v>
      </c>
      <c r="H497" s="204">
        <v>13200000</v>
      </c>
      <c r="I497" s="204">
        <v>1900000</v>
      </c>
      <c r="J497" s="204"/>
      <c r="K497" s="205">
        <f t="shared" si="35"/>
        <v>15525000</v>
      </c>
      <c r="L497" s="206" t="s">
        <v>289</v>
      </c>
      <c r="N497" s="217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9200</v>
      </c>
      <c r="G498" s="18">
        <v>3084</v>
      </c>
      <c r="H498" s="18">
        <v>2976000</v>
      </c>
      <c r="I498" s="18">
        <v>212778.14</v>
      </c>
      <c r="J498" s="18"/>
      <c r="K498" s="53">
        <f t="shared" si="35"/>
        <v>3201062.14</v>
      </c>
      <c r="L498" s="24" t="s">
        <v>289</v>
      </c>
      <c r="N498" s="217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329200</v>
      </c>
      <c r="G499" s="42">
        <f>SUM(G497:G498)</f>
        <v>108084</v>
      </c>
      <c r="H499" s="42">
        <f>SUM(H497:H498)</f>
        <v>16176000</v>
      </c>
      <c r="I499" s="42">
        <f>SUM(I497:I498)</f>
        <v>2112778.14</v>
      </c>
      <c r="J499" s="42">
        <f>SUM(J497:J498)</f>
        <v>0</v>
      </c>
      <c r="K499" s="42">
        <f t="shared" si="35"/>
        <v>18726062.140000001</v>
      </c>
      <c r="L499" s="45" t="s">
        <v>289</v>
      </c>
      <c r="N499" s="217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320000</v>
      </c>
      <c r="G500" s="204">
        <v>105000</v>
      </c>
      <c r="H500" s="204">
        <v>1200000</v>
      </c>
      <c r="I500" s="204">
        <v>290000</v>
      </c>
      <c r="J500" s="204"/>
      <c r="K500" s="205">
        <f t="shared" si="35"/>
        <v>1915000</v>
      </c>
      <c r="L500" s="206" t="s">
        <v>289</v>
      </c>
      <c r="N500" s="217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9200</v>
      </c>
      <c r="G501" s="18">
        <v>3084</v>
      </c>
      <c r="H501" s="18">
        <v>505500</v>
      </c>
      <c r="I501" s="18">
        <v>53118.76</v>
      </c>
      <c r="J501" s="18"/>
      <c r="K501" s="53">
        <f t="shared" si="35"/>
        <v>570902.76</v>
      </c>
      <c r="L501" s="24" t="s">
        <v>289</v>
      </c>
      <c r="N501" s="217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329200</v>
      </c>
      <c r="G502" s="42">
        <f>SUM(G500:G501)</f>
        <v>108084</v>
      </c>
      <c r="H502" s="42">
        <f>SUM(H500:H501)</f>
        <v>1705500</v>
      </c>
      <c r="I502" s="42">
        <f>SUM(I500:I501)</f>
        <v>343118.76</v>
      </c>
      <c r="J502" s="42">
        <f>SUM(J500:J501)</f>
        <v>0</v>
      </c>
      <c r="K502" s="42">
        <f t="shared" si="35"/>
        <v>2485902.7599999998</v>
      </c>
      <c r="L502" s="45" t="s">
        <v>289</v>
      </c>
      <c r="N502" s="217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17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17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1624026.02</v>
      </c>
      <c r="G506" s="144">
        <f>30658.11+3232.75</f>
        <v>33890.86</v>
      </c>
      <c r="H506" s="144"/>
      <c r="I506" s="144">
        <f>1657916.88</f>
        <v>1657916.88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17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17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17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17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17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17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17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1779177.45+20999.68+494528.8+721457.43+31831.49+380757.02+417303.08+1075.2+14515</f>
        <v>3861645.1500000004</v>
      </c>
      <c r="G520" s="18">
        <f>1328566.41+4868.6+97526.06+2111+103009.34+203.75</f>
        <v>1536285.1600000001</v>
      </c>
      <c r="H520" s="18">
        <f>147775.67+3640.89+3735+106135.81+196.4+2807.35+874051.37+27+766.08</f>
        <v>1139135.57</v>
      </c>
      <c r="I520" s="18">
        <f>63290.91+15754.68+13828.53+8515.34+364.07</f>
        <v>101753.53</v>
      </c>
      <c r="J520" s="18">
        <f>38417.31+6416.32+249.02+3142.32</f>
        <v>48224.969999999994</v>
      </c>
      <c r="K520" s="18">
        <f>11612.46+7577.91+243+3261.04</f>
        <v>22694.41</v>
      </c>
      <c r="L520" s="88">
        <f>SUM(F520:K520)</f>
        <v>6709738.790000001</v>
      </c>
      <c r="N520" s="217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950251+11812.32+17905.21+120876+343861.67+234732.99+604.8</f>
        <v>1680043.9899999998</v>
      </c>
      <c r="G521" s="18">
        <f>603133.19+2738.59+57942.76+114.61</f>
        <v>663929.14999999991</v>
      </c>
      <c r="H521" s="18">
        <f>59701.4+342706.93</f>
        <v>402408.33</v>
      </c>
      <c r="I521" s="18">
        <f>7778.55+2317.84+204.79</f>
        <v>10301.18</v>
      </c>
      <c r="J521" s="18">
        <f>3609.18+1767.56</f>
        <v>5376.74</v>
      </c>
      <c r="K521" s="18">
        <f>4262.58+1834.34</f>
        <v>6096.92</v>
      </c>
      <c r="L521" s="88">
        <f>SUM(F521:K521)</f>
        <v>2768156.31</v>
      </c>
      <c r="N521" s="217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f>4969.03-39.99+2025+4.3+5201487.11</f>
        <v>5208445.45</v>
      </c>
      <c r="I522" s="18"/>
      <c r="J522" s="18"/>
      <c r="K522" s="18">
        <v>58.58</v>
      </c>
      <c r="L522" s="88">
        <f>SUM(F522:K522)</f>
        <v>5208504.03</v>
      </c>
      <c r="N522" s="217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5541689.1400000006</v>
      </c>
      <c r="G523" s="108">
        <f t="shared" ref="G523:L523" si="36">SUM(G520:G522)</f>
        <v>2200214.31</v>
      </c>
      <c r="H523" s="108">
        <f t="shared" si="36"/>
        <v>6749989.3500000006</v>
      </c>
      <c r="I523" s="108">
        <f t="shared" si="36"/>
        <v>112054.70999999999</v>
      </c>
      <c r="J523" s="108">
        <f t="shared" si="36"/>
        <v>53601.709999999992</v>
      </c>
      <c r="K523" s="108">
        <f t="shared" si="36"/>
        <v>28849.910000000003</v>
      </c>
      <c r="L523" s="89">
        <f t="shared" si="36"/>
        <v>14686399.130000003</v>
      </c>
      <c r="N523" s="217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17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859333.71</v>
      </c>
      <c r="G525" s="18">
        <v>351900.2</v>
      </c>
      <c r="H525" s="18">
        <f>8421.44+133.89+320267.91+26760.9+5126.46+7183.15+337.58</f>
        <v>368231.33000000007</v>
      </c>
      <c r="I525" s="18">
        <v>320.27999999999997</v>
      </c>
      <c r="J525" s="18"/>
      <c r="K525" s="18">
        <v>1815.39</v>
      </c>
      <c r="L525" s="88">
        <f>SUM(F525:K525)</f>
        <v>1581600.91</v>
      </c>
      <c r="M525" s="8"/>
      <c r="N525" s="270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483375.21</v>
      </c>
      <c r="G526" s="18">
        <v>197943.86</v>
      </c>
      <c r="H526" s="18">
        <f>4737.06+1010.09+128079.56+10704.36+2883.64+4040.52+189.89+11249.01</f>
        <v>162894.13000000003</v>
      </c>
      <c r="I526" s="18">
        <v>180.16</v>
      </c>
      <c r="J526" s="18"/>
      <c r="K526" s="18">
        <v>1021.16</v>
      </c>
      <c r="L526" s="88">
        <f>SUM(F526:K526)</f>
        <v>845414.52000000014</v>
      </c>
      <c r="M526" s="8"/>
      <c r="N526" s="270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17044.9+139220.75+11637.31</f>
        <v>167902.96</v>
      </c>
      <c r="I527" s="18"/>
      <c r="J527" s="18"/>
      <c r="K527" s="18">
        <v>264.47000000000003</v>
      </c>
      <c r="L527" s="88">
        <f>SUM(F527:K527)</f>
        <v>168167.43</v>
      </c>
      <c r="M527" s="8"/>
      <c r="N527" s="270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1342708.92</v>
      </c>
      <c r="G528" s="89">
        <f t="shared" ref="G528:L528" si="37">SUM(G525:G527)</f>
        <v>549844.06000000006</v>
      </c>
      <c r="H528" s="89">
        <f t="shared" si="37"/>
        <v>699028.42</v>
      </c>
      <c r="I528" s="89">
        <f t="shared" si="37"/>
        <v>500.43999999999994</v>
      </c>
      <c r="J528" s="89">
        <f t="shared" si="37"/>
        <v>0</v>
      </c>
      <c r="K528" s="89">
        <f t="shared" si="37"/>
        <v>3101.0200000000004</v>
      </c>
      <c r="L528" s="89">
        <f t="shared" si="37"/>
        <v>2595182.8600000003</v>
      </c>
      <c r="M528" s="8"/>
      <c r="N528" s="270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0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f>301292.52+80644.98</f>
        <v>381937.5</v>
      </c>
      <c r="G530" s="18">
        <f>5056+537.68+4391.3+9209.2+69132.21+6091.02+19139+7096.7+30653.04</f>
        <v>151306.15000000002</v>
      </c>
      <c r="H530" s="18">
        <v>5126.46</v>
      </c>
      <c r="I530" s="18"/>
      <c r="J530" s="18"/>
      <c r="K530" s="18"/>
      <c r="L530" s="88">
        <f>SUM(F530:K530)</f>
        <v>538370.11</v>
      </c>
      <c r="M530" s="8"/>
      <c r="N530" s="270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169477.04</v>
      </c>
      <c r="G531" s="18">
        <f>2844+2470.1+38886.87+10765.68+17242.34</f>
        <v>72208.990000000005</v>
      </c>
      <c r="H531" s="18">
        <v>2883.64</v>
      </c>
      <c r="I531" s="18"/>
      <c r="J531" s="18"/>
      <c r="K531" s="18"/>
      <c r="L531" s="88">
        <f>SUM(F531:K531)</f>
        <v>244569.67000000004</v>
      </c>
      <c r="M531" s="8"/>
      <c r="N531" s="270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79569.88</v>
      </c>
      <c r="G532" s="18">
        <f>1672.32+24864.84+5864.3+8991.32</f>
        <v>41392.78</v>
      </c>
      <c r="H532" s="18"/>
      <c r="I532" s="18"/>
      <c r="J532" s="18"/>
      <c r="K532" s="18"/>
      <c r="L532" s="88">
        <f>SUM(F532:K532)</f>
        <v>120962.66</v>
      </c>
      <c r="M532" s="8"/>
      <c r="N532" s="270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630984.42000000004</v>
      </c>
      <c r="G533" s="89">
        <f t="shared" ref="G533:L533" si="38">SUM(G530:G532)</f>
        <v>264907.92000000004</v>
      </c>
      <c r="H533" s="89">
        <f t="shared" si="38"/>
        <v>8010.1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903902.44000000006</v>
      </c>
      <c r="M533" s="8"/>
      <c r="N533" s="270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0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13217.88</v>
      </c>
      <c r="I535" s="18"/>
      <c r="J535" s="18"/>
      <c r="K535" s="18"/>
      <c r="L535" s="88">
        <f>SUM(F535:K535)</f>
        <v>13217.88</v>
      </c>
      <c r="M535" s="8"/>
      <c r="N535" s="270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7600.28</v>
      </c>
      <c r="I536" s="18"/>
      <c r="J536" s="18"/>
      <c r="K536" s="18"/>
      <c r="L536" s="88">
        <f>SUM(F536:K536)</f>
        <v>7600.28</v>
      </c>
      <c r="M536" s="8"/>
      <c r="N536" s="270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12226.53</v>
      </c>
      <c r="I537" s="18"/>
      <c r="J537" s="18"/>
      <c r="K537" s="18"/>
      <c r="L537" s="88">
        <f>SUM(F537:K537)</f>
        <v>12226.53</v>
      </c>
      <c r="M537" s="8"/>
      <c r="N537" s="270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33044.69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33044.69</v>
      </c>
      <c r="M538" s="8"/>
      <c r="N538" s="270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0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12814.76+368754.88</f>
        <v>381569.64</v>
      </c>
      <c r="I540" s="18"/>
      <c r="J540" s="18"/>
      <c r="K540" s="18"/>
      <c r="L540" s="88">
        <f>SUM(F540:K540)</f>
        <v>381569.64</v>
      </c>
      <c r="M540" s="8"/>
      <c r="N540" s="270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258913</v>
      </c>
      <c r="I541" s="18"/>
      <c r="J541" s="18"/>
      <c r="K541" s="18"/>
      <c r="L541" s="88">
        <f>SUM(F541:K541)</f>
        <v>258913</v>
      </c>
      <c r="M541" s="8"/>
      <c r="N541" s="270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156916.98000000001</v>
      </c>
      <c r="I542" s="18"/>
      <c r="J542" s="18"/>
      <c r="K542" s="18"/>
      <c r="L542" s="88">
        <f>SUM(F542:K542)</f>
        <v>156916.98000000001</v>
      </c>
      <c r="M542" s="8"/>
      <c r="N542" s="270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797399.62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797399.62</v>
      </c>
      <c r="M543" s="8"/>
      <c r="N543" s="270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7515382.4800000004</v>
      </c>
      <c r="G544" s="89">
        <f t="shared" ref="G544:L544" si="41">G523+G528+G533+G538+G543</f>
        <v>3014966.29</v>
      </c>
      <c r="H544" s="89">
        <f t="shared" si="41"/>
        <v>8287472.1800000006</v>
      </c>
      <c r="I544" s="89">
        <f t="shared" si="41"/>
        <v>112555.15</v>
      </c>
      <c r="J544" s="89">
        <f t="shared" si="41"/>
        <v>53601.709999999992</v>
      </c>
      <c r="K544" s="89">
        <f t="shared" si="41"/>
        <v>31950.930000000004</v>
      </c>
      <c r="L544" s="89">
        <f t="shared" si="41"/>
        <v>19015928.740000006</v>
      </c>
      <c r="M544" s="8"/>
      <c r="N544" s="270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0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0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0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6709738.790000001</v>
      </c>
      <c r="G548" s="87">
        <f>L525</f>
        <v>1581600.91</v>
      </c>
      <c r="H548" s="87">
        <f>L530</f>
        <v>538370.11</v>
      </c>
      <c r="I548" s="87">
        <f>L535</f>
        <v>13217.88</v>
      </c>
      <c r="J548" s="87">
        <f>L540</f>
        <v>381569.64</v>
      </c>
      <c r="K548" s="87">
        <f>SUM(F548:J548)</f>
        <v>9224497.3300000019</v>
      </c>
      <c r="L548" s="24" t="s">
        <v>289</v>
      </c>
      <c r="M548" s="8"/>
      <c r="N548" s="270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2768156.31</v>
      </c>
      <c r="G549" s="87">
        <f>L526</f>
        <v>845414.52000000014</v>
      </c>
      <c r="H549" s="87">
        <f>L531</f>
        <v>244569.67000000004</v>
      </c>
      <c r="I549" s="87">
        <f>L536</f>
        <v>7600.28</v>
      </c>
      <c r="J549" s="87">
        <f>L541</f>
        <v>258913</v>
      </c>
      <c r="K549" s="87">
        <f>SUM(F549:J549)</f>
        <v>4124653.78</v>
      </c>
      <c r="L549" s="24" t="s">
        <v>289</v>
      </c>
      <c r="M549" s="8"/>
      <c r="N549" s="270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5208504.03</v>
      </c>
      <c r="G550" s="87">
        <f>L527</f>
        <v>168167.43</v>
      </c>
      <c r="H550" s="87">
        <f>L532</f>
        <v>120962.66</v>
      </c>
      <c r="I550" s="87">
        <f>L537</f>
        <v>12226.53</v>
      </c>
      <c r="J550" s="87">
        <f>L542</f>
        <v>156916.98000000001</v>
      </c>
      <c r="K550" s="87">
        <f>SUM(F550:J550)</f>
        <v>5666777.6300000008</v>
      </c>
      <c r="L550" s="24" t="s">
        <v>289</v>
      </c>
      <c r="M550" s="8"/>
      <c r="N550" s="270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14686399.130000003</v>
      </c>
      <c r="G551" s="89">
        <f t="shared" si="42"/>
        <v>2595182.8600000003</v>
      </c>
      <c r="H551" s="89">
        <f t="shared" si="42"/>
        <v>903902.44000000006</v>
      </c>
      <c r="I551" s="89">
        <f t="shared" si="42"/>
        <v>33044.69</v>
      </c>
      <c r="J551" s="89">
        <f t="shared" si="42"/>
        <v>797399.62</v>
      </c>
      <c r="K551" s="89">
        <f t="shared" si="42"/>
        <v>19015928.740000002</v>
      </c>
      <c r="L551" s="24"/>
      <c r="M551" s="8"/>
      <c r="N551" s="270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0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0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0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0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0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0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0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123035.75</v>
      </c>
      <c r="G561" s="18">
        <v>41912.26</v>
      </c>
      <c r="H561" s="18">
        <v>248.39</v>
      </c>
      <c r="I561" s="18">
        <v>1041.45</v>
      </c>
      <c r="J561" s="18"/>
      <c r="K561" s="18"/>
      <c r="L561" s="88">
        <f>SUM(F561:K561)</f>
        <v>166237.85000000003</v>
      </c>
      <c r="M561" s="8"/>
      <c r="N561" s="270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69207.61</v>
      </c>
      <c r="G562" s="18">
        <v>23575.65</v>
      </c>
      <c r="H562" s="18">
        <v>139.72</v>
      </c>
      <c r="I562" s="18">
        <v>585.82000000000005</v>
      </c>
      <c r="J562" s="18"/>
      <c r="K562" s="18"/>
      <c r="L562" s="88">
        <f>SUM(F562:K562)</f>
        <v>93508.800000000017</v>
      </c>
      <c r="M562" s="8"/>
      <c r="N562" s="270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192243.36</v>
      </c>
      <c r="G564" s="89">
        <f t="shared" si="44"/>
        <v>65487.91</v>
      </c>
      <c r="H564" s="89">
        <f t="shared" si="44"/>
        <v>388.11</v>
      </c>
      <c r="I564" s="89">
        <f t="shared" si="44"/>
        <v>1627.27</v>
      </c>
      <c r="J564" s="89">
        <f t="shared" si="44"/>
        <v>0</v>
      </c>
      <c r="K564" s="89">
        <f t="shared" si="44"/>
        <v>0</v>
      </c>
      <c r="L564" s="89">
        <f t="shared" si="44"/>
        <v>259746.65000000005</v>
      </c>
      <c r="M564" s="8"/>
      <c r="N564" s="270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0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307877</v>
      </c>
      <c r="G566" s="18">
        <v>148045.56</v>
      </c>
      <c r="H566" s="18">
        <v>725.59</v>
      </c>
      <c r="I566" s="18">
        <v>1064.18</v>
      </c>
      <c r="J566" s="18"/>
      <c r="K566" s="18"/>
      <c r="L566" s="88">
        <f>SUM(F566:K566)</f>
        <v>457712.33</v>
      </c>
      <c r="M566" s="8"/>
      <c r="N566" s="270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201692</v>
      </c>
      <c r="G567" s="18">
        <v>93337.19</v>
      </c>
      <c r="H567" s="18">
        <v>408.14</v>
      </c>
      <c r="I567" s="18">
        <v>598.6</v>
      </c>
      <c r="J567" s="18"/>
      <c r="K567" s="18"/>
      <c r="L567" s="88">
        <f>SUM(F567:K567)</f>
        <v>296035.93</v>
      </c>
      <c r="M567" s="8"/>
      <c r="N567" s="270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509569</v>
      </c>
      <c r="G569" s="193">
        <f t="shared" ref="G569:L569" si="45">SUM(G566:G568)</f>
        <v>241382.75</v>
      </c>
      <c r="H569" s="193">
        <f t="shared" si="45"/>
        <v>1133.73</v>
      </c>
      <c r="I569" s="193">
        <f t="shared" si="45"/>
        <v>1662.7800000000002</v>
      </c>
      <c r="J569" s="193">
        <f t="shared" si="45"/>
        <v>0</v>
      </c>
      <c r="K569" s="193">
        <f t="shared" si="45"/>
        <v>0</v>
      </c>
      <c r="L569" s="193">
        <f t="shared" si="45"/>
        <v>753748.26</v>
      </c>
      <c r="M569" s="8"/>
      <c r="N569" s="270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701812.36</v>
      </c>
      <c r="G570" s="89">
        <f t="shared" ref="G570:L570" si="46">G559+G564+G569</f>
        <v>306870.66000000003</v>
      </c>
      <c r="H570" s="89">
        <f t="shared" si="46"/>
        <v>1521.8400000000001</v>
      </c>
      <c r="I570" s="89">
        <f t="shared" si="46"/>
        <v>3290.05</v>
      </c>
      <c r="J570" s="89">
        <f t="shared" si="46"/>
        <v>0</v>
      </c>
      <c r="K570" s="89">
        <f t="shared" si="46"/>
        <v>0</v>
      </c>
      <c r="L570" s="89">
        <f t="shared" si="46"/>
        <v>1013494.91</v>
      </c>
      <c r="M570" s="8"/>
      <c r="N570" s="270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0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0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20246961.41</v>
      </c>
      <c r="I576" s="87">
        <f t="shared" si="47"/>
        <v>20246961.41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>
        <v>49765.95</v>
      </c>
      <c r="I577" s="87">
        <f t="shared" si="47"/>
        <v>49765.95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4083236.47</v>
      </c>
      <c r="I580" s="87">
        <f t="shared" si="47"/>
        <v>4083236.47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873561.51</v>
      </c>
      <c r="G581" s="18">
        <v>342706.93</v>
      </c>
      <c r="H581" s="18">
        <f>1011616.96+106633.68</f>
        <v>1118250.6399999999</v>
      </c>
      <c r="I581" s="87">
        <f t="shared" si="47"/>
        <v>2334519.08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0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0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930314+15434.47+0.01</f>
        <v>945748.47999999998</v>
      </c>
      <c r="I590" s="18">
        <f>633734.01+10836.97</f>
        <v>644570.98</v>
      </c>
      <c r="J590" s="18">
        <f>406239.75+6658.85-91.01</f>
        <v>412807.58999999997</v>
      </c>
      <c r="K590" s="104">
        <f t="shared" ref="K590:K596" si="48">SUM(H590:J590)</f>
        <v>2003127.0499999998</v>
      </c>
      <c r="L590" s="24" t="s">
        <v>289</v>
      </c>
      <c r="M590" s="8"/>
      <c r="N590" s="270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12814.76+368754.88</f>
        <v>381569.64</v>
      </c>
      <c r="I591" s="18">
        <v>258913</v>
      </c>
      <c r="J591" s="18">
        <v>156916.98000000001</v>
      </c>
      <c r="K591" s="104">
        <f t="shared" si="48"/>
        <v>797399.62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0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f>10361.61+11742.62</f>
        <v>22104.230000000003</v>
      </c>
      <c r="J593" s="18"/>
      <c r="K593" s="104">
        <f t="shared" si="48"/>
        <v>22104.230000000003</v>
      </c>
      <c r="L593" s="24" t="s">
        <v>289</v>
      </c>
      <c r="M593" s="8"/>
      <c r="N593" s="270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1439.9</v>
      </c>
      <c r="I594" s="18">
        <v>809.94</v>
      </c>
      <c r="J594" s="18"/>
      <c r="K594" s="104">
        <f t="shared" si="48"/>
        <v>2249.84</v>
      </c>
      <c r="L594" s="24" t="s">
        <v>289</v>
      </c>
      <c r="M594" s="8"/>
      <c r="N594" s="270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1328758.02</v>
      </c>
      <c r="I597" s="108">
        <f>SUM(I590:I596)</f>
        <v>926398.14999999991</v>
      </c>
      <c r="J597" s="108">
        <f>SUM(J590:J596)</f>
        <v>569724.56999999995</v>
      </c>
      <c r="K597" s="108">
        <f>SUM(K590:K596)</f>
        <v>2824880.7399999998</v>
      </c>
      <c r="L597" s="24" t="s">
        <v>289</v>
      </c>
      <c r="M597" s="8"/>
      <c r="N597" s="270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0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0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0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249.02+47956.55</f>
        <v>48205.57</v>
      </c>
      <c r="I603" s="18">
        <f>12454.45+26975.56</f>
        <v>39430.01</v>
      </c>
      <c r="J603" s="18"/>
      <c r="K603" s="104">
        <f>SUM(H603:J603)</f>
        <v>87635.58</v>
      </c>
      <c r="L603" s="24" t="s">
        <v>289</v>
      </c>
      <c r="M603" s="8"/>
      <c r="N603" s="270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48205.57</v>
      </c>
      <c r="I604" s="108">
        <f>SUM(I601:I603)</f>
        <v>39430.01</v>
      </c>
      <c r="J604" s="108">
        <f>SUM(J601:J603)</f>
        <v>0</v>
      </c>
      <c r="K604" s="108">
        <f>SUM(K601:K603)</f>
        <v>87635.58</v>
      </c>
      <c r="L604" s="24" t="s">
        <v>289</v>
      </c>
      <c r="M604" s="8"/>
      <c r="N604" s="270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0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0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0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0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0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5925408.6099999994</v>
      </c>
      <c r="H616" s="109">
        <f>SUM(F51)</f>
        <v>5925408.6099999994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340941.83999999997</v>
      </c>
      <c r="H617" s="109">
        <f>SUM(G51)</f>
        <v>340941.84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756009.76</v>
      </c>
      <c r="H618" s="109">
        <f>SUM(H51)</f>
        <v>756009.76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182497.08</v>
      </c>
      <c r="H620" s="109">
        <f>SUM(J51)</f>
        <v>182497.08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4265567.6199999992</v>
      </c>
      <c r="H621" s="109">
        <f>F475</f>
        <v>4265567.6200000048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309818.38</v>
      </c>
      <c r="H622" s="109">
        <f>G475</f>
        <v>309818.38000000012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7820.66</v>
      </c>
      <c r="H623" s="109">
        <f>H475</f>
        <v>7820.6600000006147</v>
      </c>
      <c r="I623" s="121" t="s">
        <v>103</v>
      </c>
      <c r="J623" s="109">
        <f t="shared" si="50"/>
        <v>-6.1481841839849949E-10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182497.08</v>
      </c>
      <c r="H625" s="109">
        <f>J475</f>
        <v>182497.08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74509277.840000004</v>
      </c>
      <c r="H626" s="104">
        <f>SUM(F467)</f>
        <v>74509277.840000004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1355381.12</v>
      </c>
      <c r="H627" s="104">
        <f>SUM(G467)</f>
        <v>1355381.12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2270721.85</v>
      </c>
      <c r="H628" s="104">
        <f>SUM(H467)</f>
        <v>2270721.85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1697.67</v>
      </c>
      <c r="H630" s="104">
        <f>SUM(J467)</f>
        <v>1697.67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74375106.519999981</v>
      </c>
      <c r="H631" s="104">
        <f>SUM(F471)</f>
        <v>74375106.519999996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2271186.3400000003</v>
      </c>
      <c r="H632" s="104">
        <f>SUM(H471)</f>
        <v>2271186.3399999994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625866.82000000007</v>
      </c>
      <c r="H633" s="104">
        <f>I368</f>
        <v>625866.82000000007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1324331.76</v>
      </c>
      <c r="H634" s="104">
        <f>SUM(G471)</f>
        <v>1324331.76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1697.67</v>
      </c>
      <c r="H636" s="164">
        <f>SUM(J467)</f>
        <v>1697.67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181087.52</v>
      </c>
      <c r="H637" s="164">
        <f>SUM(J471)</f>
        <v>181087.52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182497.08</v>
      </c>
      <c r="H638" s="104">
        <f>SUM(F460)</f>
        <v>182497.08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182497.08</v>
      </c>
      <c r="H641" s="104">
        <f>SUM(I460)</f>
        <v>182497.08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1697.67</v>
      </c>
      <c r="H643" s="104">
        <f>H407</f>
        <v>1697.67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1697.67</v>
      </c>
      <c r="H645" s="104">
        <f>L407</f>
        <v>1697.67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2824880.7399999998</v>
      </c>
      <c r="H646" s="104">
        <f>L207+L225+L243</f>
        <v>2824880.74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87635.58</v>
      </c>
      <c r="H647" s="104">
        <f>(J256+J337)-(J254+J335)</f>
        <v>87635.58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1328758.02</v>
      </c>
      <c r="H648" s="104">
        <f>H597</f>
        <v>1328758.02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926398.14999999991</v>
      </c>
      <c r="H649" s="104">
        <f>I597</f>
        <v>926398.14999999991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569724.57000000007</v>
      </c>
      <c r="H650" s="104">
        <f>J597</f>
        <v>569724.56999999995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31174548.650000002</v>
      </c>
      <c r="G659" s="19">
        <f>(L228+L308+L358)</f>
        <v>17756956.919999998</v>
      </c>
      <c r="H659" s="19">
        <f>(L246+L327+L359)</f>
        <v>26311860.599999998</v>
      </c>
      <c r="I659" s="19">
        <f>SUM(F659:H659)</f>
        <v>75243366.170000002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487145.92912157183</v>
      </c>
      <c r="G660" s="19">
        <f>(L358/IF(SUM(L357:L359)=0,1,SUM(L357:L359))*(SUM(G96:G109)))</f>
        <v>274019.59087842825</v>
      </c>
      <c r="H660" s="19">
        <f>(L359/IF(SUM(L357:L359)=0,1,SUM(L357:L359))*(SUM(G96:G109)))</f>
        <v>0</v>
      </c>
      <c r="I660" s="19">
        <f>SUM(F660:H660)</f>
        <v>761165.52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1328758.02</v>
      </c>
      <c r="G661" s="19">
        <f>(L225+L305)-(J225+J305)</f>
        <v>926398.14999999991</v>
      </c>
      <c r="H661" s="19">
        <f>(L243+L324)-(J243+J324)</f>
        <v>569724.57000000007</v>
      </c>
      <c r="I661" s="19">
        <f>SUM(F661:H661)</f>
        <v>2824880.74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921767.08</v>
      </c>
      <c r="G662" s="199">
        <f>SUM(G574:G586)+SUM(I601:I603)+L611</f>
        <v>382136.94</v>
      </c>
      <c r="H662" s="199">
        <f>SUM(H574:H586)+SUM(J601:J603)+L612</f>
        <v>25498214.469999999</v>
      </c>
      <c r="I662" s="19">
        <f>SUM(F662:H662)</f>
        <v>26802118.489999998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28436877.620878432</v>
      </c>
      <c r="G663" s="19">
        <f>G659-SUM(G660:G662)</f>
        <v>16174402.239121569</v>
      </c>
      <c r="H663" s="19">
        <f>H659-SUM(H660:H662)</f>
        <v>243921.55999999866</v>
      </c>
      <c r="I663" s="19">
        <f>I659-SUM(I660:I662)</f>
        <v>44855201.420000002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2155.3000000000002</v>
      </c>
      <c r="G664" s="248">
        <v>1274.73</v>
      </c>
      <c r="H664" s="248"/>
      <c r="I664" s="19">
        <f>SUM(F664:H664)</f>
        <v>3430.03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13193.93</v>
      </c>
      <c r="G666" s="19">
        <f>ROUND(G663/G664,2)</f>
        <v>12688.49</v>
      </c>
      <c r="H666" s="19" t="e">
        <f>ROUND(H663/H664,2)</f>
        <v>#DIV/0!</v>
      </c>
      <c r="I666" s="19">
        <f>ROUND(I663/I664,2)</f>
        <v>13077.2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-243921.56</v>
      </c>
      <c r="I668" s="19">
        <f>SUM(F668:H668)</f>
        <v>-243921.56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13193.93</v>
      </c>
      <c r="G671" s="19">
        <f>ROUND((G663+G668)/(G664+G669),2)</f>
        <v>12688.49</v>
      </c>
      <c r="H671" s="19" t="e">
        <f>ROUND((H663+H668)/(H664+H669),2)</f>
        <v>#DIV/0!</v>
      </c>
      <c r="I671" s="19">
        <f>ROUND((I663+I668)/(I664+I669),2)</f>
        <v>13006.09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Derry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12699310.190000001</v>
      </c>
      <c r="C9" s="229">
        <f>'DOE25'!G196+'DOE25'!G214+'DOE25'!G232+'DOE25'!G275+'DOE25'!G294+'DOE25'!G313</f>
        <v>6316153.6600000001</v>
      </c>
    </row>
    <row r="10" spans="1:3" x14ac:dyDescent="0.2">
      <c r="A10" t="s">
        <v>779</v>
      </c>
      <c r="B10" s="240">
        <f>12443275.47+2400</f>
        <v>12445675.470000001</v>
      </c>
      <c r="C10" s="240">
        <f>6315698.86+454.8-1833.35-19403.06</f>
        <v>6294917.2500000009</v>
      </c>
    </row>
    <row r="11" spans="1:3" x14ac:dyDescent="0.2">
      <c r="A11" t="s">
        <v>780</v>
      </c>
      <c r="B11" s="240">
        <v>253634.72</v>
      </c>
      <c r="C11" s="240">
        <f>19403.06+1833.35</f>
        <v>21236.41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12699310.190000001</v>
      </c>
      <c r="C13" s="231">
        <f>SUM(C10:C12)</f>
        <v>6316153.6600000011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6002346.2999999998</v>
      </c>
      <c r="C18" s="229">
        <f>'DOE25'!G197+'DOE25'!G215+'DOE25'!G233+'DOE25'!G276+'DOE25'!G295+'DOE25'!G314</f>
        <v>2538271.0000000005</v>
      </c>
    </row>
    <row r="19" spans="1:3" x14ac:dyDescent="0.2">
      <c r="A19" t="s">
        <v>779</v>
      </c>
      <c r="B19" s="240">
        <f>117468.13+163549.76+3161887.84</f>
        <v>3442905.73</v>
      </c>
      <c r="C19" s="240">
        <f>292093.55-116979.27+2246177.45-17532.74-155495.86-30000</f>
        <v>2218263.13</v>
      </c>
    </row>
    <row r="20" spans="1:3" x14ac:dyDescent="0.2">
      <c r="A20" t="s">
        <v>780</v>
      </c>
      <c r="B20" s="240">
        <f>526815+2032625.57</f>
        <v>2559440.5700000003</v>
      </c>
      <c r="C20" s="240">
        <f>40301.35+46793.33+2500+27384.59+30000+155495.86+17532.74</f>
        <v>320007.87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6002346.3000000007</v>
      </c>
      <c r="C22" s="231">
        <f>SUM(C19:C21)</f>
        <v>2538271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191372.06</v>
      </c>
      <c r="C36" s="235">
        <f>'DOE25'!G199+'DOE25'!G217+'DOE25'!G235+'DOE25'!G278+'DOE25'!G297+'DOE25'!G316</f>
        <v>29838.03</v>
      </c>
    </row>
    <row r="37" spans="1:3" x14ac:dyDescent="0.2">
      <c r="A37" t="s">
        <v>779</v>
      </c>
      <c r="B37" s="240">
        <v>43783.51</v>
      </c>
      <c r="C37" s="240">
        <v>5999.69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147588.54999999999</v>
      </c>
      <c r="C39" s="240">
        <v>23838.34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191372.06</v>
      </c>
      <c r="C40" s="231">
        <f>SUM(C37:C39)</f>
        <v>29838.03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G13" sqref="G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>Derry Cooperative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53606855.649999999</v>
      </c>
      <c r="D5" s="20">
        <f>SUM('DOE25'!L196:L199)+SUM('DOE25'!L214:L217)+SUM('DOE25'!L232:L235)-F5-G5</f>
        <v>53579815.419999994</v>
      </c>
      <c r="E5" s="243"/>
      <c r="F5" s="255">
        <f>SUM('DOE25'!J196:J199)+SUM('DOE25'!J214:J217)+SUM('DOE25'!J232:J235)</f>
        <v>17613.349999999999</v>
      </c>
      <c r="G5" s="53">
        <f>SUM('DOE25'!K196:K199)+SUM('DOE25'!K214:K217)+SUM('DOE25'!K232:K235)</f>
        <v>9426.880000000001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5426211.4999999991</v>
      </c>
      <c r="D6" s="20">
        <f>'DOE25'!L201+'DOE25'!L219+'DOE25'!L237-F6-G6</f>
        <v>5426211.4999999991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1284157.2000000002</v>
      </c>
      <c r="D7" s="20">
        <f>'DOE25'!L202+'DOE25'!L220+'DOE25'!L238-F7-G7</f>
        <v>1213616.9700000002</v>
      </c>
      <c r="E7" s="243"/>
      <c r="F7" s="255">
        <f>'DOE25'!J202+'DOE25'!J220+'DOE25'!J238</f>
        <v>70022.23000000001</v>
      </c>
      <c r="G7" s="53">
        <f>'DOE25'!K202+'DOE25'!K220+'DOE25'!K238</f>
        <v>518</v>
      </c>
      <c r="H7" s="259"/>
    </row>
    <row r="8" spans="1:9" x14ac:dyDescent="0.2">
      <c r="A8" s="32">
        <v>2300</v>
      </c>
      <c r="B8" t="s">
        <v>802</v>
      </c>
      <c r="C8" s="245">
        <f t="shared" si="0"/>
        <v>305185.21999999986</v>
      </c>
      <c r="D8" s="243"/>
      <c r="E8" s="20">
        <f>'DOE25'!L203+'DOE25'!L221+'DOE25'!L239-F8-G8-D9-D11</f>
        <v>289911.29999999987</v>
      </c>
      <c r="F8" s="255">
        <f>'DOE25'!J203+'DOE25'!J221+'DOE25'!J239</f>
        <v>0</v>
      </c>
      <c r="G8" s="53">
        <f>'DOE25'!K203+'DOE25'!K221+'DOE25'!K239</f>
        <v>15273.919999999998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26143.05</v>
      </c>
      <c r="D9" s="244">
        <f>13450+1000.14+176.03+9462.92+342+1711.96</f>
        <v>26143.05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23400</v>
      </c>
      <c r="D10" s="243"/>
      <c r="E10" s="244">
        <v>23400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472603.96</v>
      </c>
      <c r="D11" s="244">
        <f>60115.31+60763.2+176068.5+166451.62+2983+2444+1445.62+140+150.03+2042.68</f>
        <v>472603.96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3055129.4000000004</v>
      </c>
      <c r="D12" s="20">
        <f>'DOE25'!L204+'DOE25'!L222+'DOE25'!L240-F12-G12</f>
        <v>3043266.9000000004</v>
      </c>
      <c r="E12" s="243"/>
      <c r="F12" s="255">
        <f>'DOE25'!J204+'DOE25'!J222+'DOE25'!J240</f>
        <v>0</v>
      </c>
      <c r="G12" s="53">
        <f>'DOE25'!K204+'DOE25'!K222+'DOE25'!K240</f>
        <v>11862.5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465011.22</v>
      </c>
      <c r="D13" s="243"/>
      <c r="E13" s="20">
        <f>'DOE25'!L205+'DOE25'!L223+'DOE25'!L241-F13-G13</f>
        <v>460870.56999999995</v>
      </c>
      <c r="F13" s="255">
        <f>'DOE25'!J205+'DOE25'!J223+'DOE25'!J241</f>
        <v>0</v>
      </c>
      <c r="G13" s="53">
        <f>'DOE25'!K205+'DOE25'!K223+'DOE25'!K241</f>
        <v>4140.6499999999996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4087093.6</v>
      </c>
      <c r="D14" s="20">
        <f>'DOE25'!L206+'DOE25'!L224+'DOE25'!L242-F14-G14</f>
        <v>4087093.6</v>
      </c>
      <c r="E14" s="243"/>
      <c r="F14" s="255">
        <f>'DOE25'!J206+'DOE25'!J224+'DOE25'!J242</f>
        <v>0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2824880.74</v>
      </c>
      <c r="D15" s="20">
        <f>'DOE25'!L207+'DOE25'!L225+'DOE25'!L243-F15-G15</f>
        <v>2824880.74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168280.75</v>
      </c>
      <c r="D16" s="243"/>
      <c r="E16" s="20">
        <f>'DOE25'!L208+'DOE25'!L226+'DOE25'!L244-F16-G16</f>
        <v>168280.75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84182.349999999991</v>
      </c>
      <c r="D17" s="20">
        <f>'DOE25'!L250-F17-G17</f>
        <v>84182.349999999991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2569371.88</v>
      </c>
      <c r="D25" s="243"/>
      <c r="E25" s="243"/>
      <c r="F25" s="258"/>
      <c r="G25" s="256"/>
      <c r="H25" s="257">
        <f>'DOE25'!L259+'DOE25'!L260+'DOE25'!L340+'DOE25'!L341</f>
        <v>2569371.88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750559.15999999992</v>
      </c>
      <c r="D29" s="20">
        <f>'DOE25'!L357+'DOE25'!L358+'DOE25'!L359-'DOE25'!I366-F29-G29</f>
        <v>749564.15999999992</v>
      </c>
      <c r="E29" s="243"/>
      <c r="F29" s="255">
        <f>'DOE25'!J357+'DOE25'!J358+'DOE25'!J359</f>
        <v>0</v>
      </c>
      <c r="G29" s="53">
        <f>'DOE25'!K357+'DOE25'!K358+'DOE25'!K359</f>
        <v>995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2271186.3400000003</v>
      </c>
      <c r="D31" s="20">
        <f>'DOE25'!L289+'DOE25'!L308+'DOE25'!L327+'DOE25'!L332+'DOE25'!L333+'DOE25'!L334-F31-G31</f>
        <v>2269905.0300000003</v>
      </c>
      <c r="E31" s="243"/>
      <c r="F31" s="255">
        <f>'DOE25'!J289+'DOE25'!J308+'DOE25'!J327+'DOE25'!J332+'DOE25'!J333+'DOE25'!J334</f>
        <v>0</v>
      </c>
      <c r="G31" s="53">
        <f>'DOE25'!K289+'DOE25'!K308+'DOE25'!K327+'DOE25'!K332+'DOE25'!K333+'DOE25'!K334</f>
        <v>1281.31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73777283.679999977</v>
      </c>
      <c r="E33" s="246">
        <f>SUM(E5:E31)</f>
        <v>942462.61999999988</v>
      </c>
      <c r="F33" s="246">
        <f>SUM(F5:F31)</f>
        <v>87635.580000000016</v>
      </c>
      <c r="G33" s="246">
        <f>SUM(G5:G31)</f>
        <v>43498.26</v>
      </c>
      <c r="H33" s="246">
        <f>SUM(H5:H31)</f>
        <v>2569371.88</v>
      </c>
    </row>
    <row r="35" spans="2:8" ht="12" thickBot="1" x14ac:dyDescent="0.25">
      <c r="B35" s="253" t="s">
        <v>847</v>
      </c>
      <c r="D35" s="254">
        <f>E33</f>
        <v>942462.61999999988</v>
      </c>
      <c r="E35" s="249"/>
    </row>
    <row r="36" spans="2:8" ht="12" thickTop="1" x14ac:dyDescent="0.2">
      <c r="B36" t="s">
        <v>815</v>
      </c>
      <c r="D36" s="20">
        <f>D33</f>
        <v>73777283.679999977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Derry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4450227.7699999996</v>
      </c>
      <c r="D8" s="95">
        <f>'DOE25'!G9</f>
        <v>925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476191.62</v>
      </c>
      <c r="D11" s="95">
        <f>'DOE25'!G12</f>
        <v>233996.77</v>
      </c>
      <c r="E11" s="95">
        <f>'DOE25'!H12</f>
        <v>0</v>
      </c>
      <c r="F11" s="95">
        <f>'DOE25'!I12</f>
        <v>0</v>
      </c>
      <c r="G11" s="95">
        <f>'DOE25'!J12</f>
        <v>182497.08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104009.84</v>
      </c>
      <c r="D12" s="95">
        <f>'DOE25'!G13</f>
        <v>47538.38</v>
      </c>
      <c r="E12" s="95">
        <f>'DOE25'!H13</f>
        <v>711829.1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865842.52999999991</v>
      </c>
      <c r="D13" s="95">
        <f>'DOE25'!G14</f>
        <v>3642.34</v>
      </c>
      <c r="E13" s="95">
        <f>'DOE25'!H14</f>
        <v>44180.66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29136.85</v>
      </c>
      <c r="D15" s="95">
        <f>'DOE25'!G16</f>
        <v>54839.350000000006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5925408.6099999994</v>
      </c>
      <c r="D18" s="41">
        <f>SUM(D8:D17)</f>
        <v>340941.83999999997</v>
      </c>
      <c r="E18" s="41">
        <f>SUM(E8:E17)</f>
        <v>756009.76</v>
      </c>
      <c r="F18" s="41">
        <f>SUM(F8:F17)</f>
        <v>0</v>
      </c>
      <c r="G18" s="41">
        <f>SUM(G8:G17)</f>
        <v>182497.08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710188.39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901049.08</v>
      </c>
      <c r="D23" s="95">
        <f>'DOE25'!G24</f>
        <v>1992.23</v>
      </c>
      <c r="E23" s="95">
        <f>'DOE25'!H24</f>
        <v>38000.71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732331.91</v>
      </c>
      <c r="D27" s="95">
        <f>'DOE25'!G28</f>
        <v>3965.7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26460</v>
      </c>
      <c r="D29" s="95">
        <f>'DOE25'!G30</f>
        <v>25165.53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1659840.99</v>
      </c>
      <c r="D31" s="41">
        <f>SUM(D21:D30)</f>
        <v>31123.46</v>
      </c>
      <c r="E31" s="41">
        <f>SUM(E21:E30)</f>
        <v>748189.1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29136.85</v>
      </c>
      <c r="D34" s="95">
        <f>'DOE25'!G35</f>
        <v>54839.360000000001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254979.02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7820.66</v>
      </c>
      <c r="F46" s="95">
        <f>'DOE25'!I47</f>
        <v>0</v>
      </c>
      <c r="G46" s="95">
        <f>'DOE25'!J47</f>
        <v>182497.08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134041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4102389.7699999996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4265567.6199999992</v>
      </c>
      <c r="D49" s="41">
        <f>SUM(D34:D48)</f>
        <v>309818.38</v>
      </c>
      <c r="E49" s="41">
        <f>SUM(E34:E48)</f>
        <v>7820.66</v>
      </c>
      <c r="F49" s="41">
        <f>SUM(F34:F48)</f>
        <v>0</v>
      </c>
      <c r="G49" s="41">
        <f>SUM(G34:G48)</f>
        <v>182497.08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5925408.6099999994</v>
      </c>
      <c r="D50" s="41">
        <f>D49+D31</f>
        <v>340941.84</v>
      </c>
      <c r="E50" s="41">
        <f>E49+E31</f>
        <v>756009.76</v>
      </c>
      <c r="F50" s="41">
        <f>F49+F31</f>
        <v>0</v>
      </c>
      <c r="G50" s="41">
        <f>G49+G31</f>
        <v>182497.08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38133486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505677.06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3414.18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1697.67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761165.52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763747.24999999988</v>
      </c>
      <c r="D60" s="95">
        <f>SUM('DOE25'!G97:G109)</f>
        <v>0</v>
      </c>
      <c r="E60" s="95">
        <f>SUM('DOE25'!H97:H109)</f>
        <v>24576.16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1272838.4899999998</v>
      </c>
      <c r="D61" s="130">
        <f>SUM(D56:D60)</f>
        <v>761165.52</v>
      </c>
      <c r="E61" s="130">
        <f>SUM(E56:E60)</f>
        <v>24576.16</v>
      </c>
      <c r="F61" s="130">
        <f>SUM(F56:F60)</f>
        <v>0</v>
      </c>
      <c r="G61" s="130">
        <f>SUM(G56:G60)</f>
        <v>1697.67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39406324.490000002</v>
      </c>
      <c r="D62" s="22">
        <f>D55+D61</f>
        <v>761165.52</v>
      </c>
      <c r="E62" s="22">
        <f>E55+E61</f>
        <v>24576.16</v>
      </c>
      <c r="F62" s="22">
        <f>F55+F61</f>
        <v>0</v>
      </c>
      <c r="G62" s="22">
        <f>G55+G61</f>
        <v>1697.67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27194827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5969646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33164473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734659.09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699434.51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18399.36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1434093.6</v>
      </c>
      <c r="D77" s="130">
        <f>SUM(D71:D76)</f>
        <v>18399.36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34598566.600000001</v>
      </c>
      <c r="D80" s="130">
        <f>SUM(D78:D79)+D77+D69</f>
        <v>18399.36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504386.75</v>
      </c>
      <c r="D87" s="95">
        <f>SUM('DOE25'!G152:G160)</f>
        <v>575816.24</v>
      </c>
      <c r="E87" s="95">
        <f>SUM('DOE25'!H152:H160)</f>
        <v>2246145.69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504386.75</v>
      </c>
      <c r="D90" s="131">
        <f>SUM(D84:D89)</f>
        <v>575816.24</v>
      </c>
      <c r="E90" s="131">
        <f>SUM(E84:E89)</f>
        <v>2246145.69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74509277.840000004</v>
      </c>
      <c r="D103" s="86">
        <f>D62+D80+D90+D102</f>
        <v>1355381.12</v>
      </c>
      <c r="E103" s="86">
        <f>E62+E80+E90+E102</f>
        <v>2270721.85</v>
      </c>
      <c r="F103" s="86">
        <f>F62+F80+F90+F102</f>
        <v>0</v>
      </c>
      <c r="G103" s="86">
        <f>G62+G80+G102</f>
        <v>1697.67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39458800.469999999</v>
      </c>
      <c r="D108" s="24" t="s">
        <v>289</v>
      </c>
      <c r="E108" s="95">
        <f>('DOE25'!L275)+('DOE25'!L294)+('DOE25'!L313)</f>
        <v>2854.8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13886628.48</v>
      </c>
      <c r="D109" s="24" t="s">
        <v>289</v>
      </c>
      <c r="E109" s="95">
        <f>('DOE25'!L276)+('DOE25'!L295)+('DOE25'!L314)</f>
        <v>1099926.44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261426.7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84182.349999999991</v>
      </c>
      <c r="D113" s="24" t="s">
        <v>289</v>
      </c>
      <c r="E113" s="95">
        <f>+ SUM('DOE25'!L332:L334)</f>
        <v>73704.22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53691038.000000007</v>
      </c>
      <c r="D114" s="86">
        <f>SUM(D108:D113)</f>
        <v>0</v>
      </c>
      <c r="E114" s="86">
        <f>SUM(E108:E113)</f>
        <v>1176485.46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5426211.4999999991</v>
      </c>
      <c r="D117" s="24" t="s">
        <v>289</v>
      </c>
      <c r="E117" s="95">
        <f>+('DOE25'!L280)+('DOE25'!L299)+('DOE25'!L318)</f>
        <v>1094700.8799999999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1284157.2000000002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803932.23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3055129.4000000004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465011.22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4087093.6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2824880.74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168280.75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1324331.76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18114696.640000001</v>
      </c>
      <c r="D127" s="86">
        <f>SUM(D117:D126)</f>
        <v>1324331.76</v>
      </c>
      <c r="E127" s="86">
        <f>SUM(E117:E126)</f>
        <v>1094700.8799999999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1920000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649371.88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181087.52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1697.67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-1697.67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2569371.88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181087.52</v>
      </c>
    </row>
    <row r="144" spans="1:7" ht="12.75" thickTop="1" thickBot="1" x14ac:dyDescent="0.25">
      <c r="A144" s="33" t="s">
        <v>244</v>
      </c>
      <c r="C144" s="86">
        <f>(C114+C127+C143)</f>
        <v>74375106.520000011</v>
      </c>
      <c r="D144" s="86">
        <f>(D114+D127+D143)</f>
        <v>1324331.76</v>
      </c>
      <c r="E144" s="86">
        <f>(E114+E127+E143)</f>
        <v>2271186.34</v>
      </c>
      <c r="F144" s="86">
        <f>(F114+F127+F143)</f>
        <v>0</v>
      </c>
      <c r="G144" s="86">
        <f>(G114+G127+G143)</f>
        <v>181087.52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20</v>
      </c>
      <c r="E150" s="153">
        <f>'DOE25'!I489</f>
        <v>10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02/94</v>
      </c>
      <c r="C151" s="152" t="str">
        <f>'DOE25'!G490</f>
        <v>02/94</v>
      </c>
      <c r="D151" s="152" t="str">
        <f>'DOE25'!H490</f>
        <v>07/03</v>
      </c>
      <c r="E151" s="152" t="str">
        <f>'DOE25'!I490</f>
        <v>01/11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06/14</v>
      </c>
      <c r="C152" s="152" t="str">
        <f>'DOE25'!G491</f>
        <v>06/14</v>
      </c>
      <c r="D152" s="152" t="str">
        <f>'DOE25'!H491</f>
        <v>07/23</v>
      </c>
      <c r="E152" s="152" t="str">
        <f>'DOE25'!I491</f>
        <v>07/19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6375000</v>
      </c>
      <c r="C153" s="137">
        <f>'DOE25'!G492</f>
        <v>2125000</v>
      </c>
      <c r="D153" s="137">
        <f>'DOE25'!H492</f>
        <v>23959000</v>
      </c>
      <c r="E153" s="137">
        <f>'DOE25'!I492</f>
        <v>2355000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5.2</v>
      </c>
      <c r="C154" s="137">
        <f>'DOE25'!G493</f>
        <v>5.3</v>
      </c>
      <c r="D154" s="137">
        <f>'DOE25'!H493</f>
        <v>3.75</v>
      </c>
      <c r="E154" s="137">
        <f>'DOE25'!I493</f>
        <v>2.2200000000000002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640000</v>
      </c>
      <c r="C155" s="137">
        <f>'DOE25'!G494</f>
        <v>210000</v>
      </c>
      <c r="D155" s="137">
        <f>'DOE25'!H494</f>
        <v>14400000</v>
      </c>
      <c r="E155" s="137">
        <f>'DOE25'!I494</f>
        <v>2195000</v>
      </c>
      <c r="F155" s="137">
        <f>'DOE25'!J494</f>
        <v>0</v>
      </c>
      <c r="G155" s="138">
        <f>SUM(B155:F155)</f>
        <v>17445000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320000</v>
      </c>
      <c r="C157" s="137">
        <f>'DOE25'!G496</f>
        <v>105000</v>
      </c>
      <c r="D157" s="137">
        <f>'DOE25'!H496</f>
        <v>1200000</v>
      </c>
      <c r="E157" s="137">
        <f>'DOE25'!I496</f>
        <v>295000</v>
      </c>
      <c r="F157" s="137">
        <f>'DOE25'!J496</f>
        <v>0</v>
      </c>
      <c r="G157" s="138">
        <f t="shared" si="0"/>
        <v>1920000</v>
      </c>
    </row>
    <row r="158" spans="1:9" x14ac:dyDescent="0.2">
      <c r="A158" s="22" t="s">
        <v>35</v>
      </c>
      <c r="B158" s="137">
        <f>'DOE25'!F497</f>
        <v>320000</v>
      </c>
      <c r="C158" s="137">
        <f>'DOE25'!G497</f>
        <v>105000</v>
      </c>
      <c r="D158" s="137">
        <f>'DOE25'!H497</f>
        <v>13200000</v>
      </c>
      <c r="E158" s="137">
        <f>'DOE25'!I497</f>
        <v>1900000</v>
      </c>
      <c r="F158" s="137">
        <f>'DOE25'!J497</f>
        <v>0</v>
      </c>
      <c r="G158" s="138">
        <f t="shared" si="0"/>
        <v>15525000</v>
      </c>
    </row>
    <row r="159" spans="1:9" x14ac:dyDescent="0.2">
      <c r="A159" s="22" t="s">
        <v>36</v>
      </c>
      <c r="B159" s="137">
        <f>'DOE25'!F498</f>
        <v>9200</v>
      </c>
      <c r="C159" s="137">
        <f>'DOE25'!G498</f>
        <v>3084</v>
      </c>
      <c r="D159" s="137">
        <f>'DOE25'!H498</f>
        <v>2976000</v>
      </c>
      <c r="E159" s="137">
        <f>'DOE25'!I498</f>
        <v>212778.14</v>
      </c>
      <c r="F159" s="137">
        <f>'DOE25'!J498</f>
        <v>0</v>
      </c>
      <c r="G159" s="138">
        <f t="shared" si="0"/>
        <v>3201062.14</v>
      </c>
    </row>
    <row r="160" spans="1:9" x14ac:dyDescent="0.2">
      <c r="A160" s="22" t="s">
        <v>37</v>
      </c>
      <c r="B160" s="137">
        <f>'DOE25'!F499</f>
        <v>329200</v>
      </c>
      <c r="C160" s="137">
        <f>'DOE25'!G499</f>
        <v>108084</v>
      </c>
      <c r="D160" s="137">
        <f>'DOE25'!H499</f>
        <v>16176000</v>
      </c>
      <c r="E160" s="137">
        <f>'DOE25'!I499</f>
        <v>2112778.14</v>
      </c>
      <c r="F160" s="137">
        <f>'DOE25'!J499</f>
        <v>0</v>
      </c>
      <c r="G160" s="138">
        <f t="shared" si="0"/>
        <v>18726062.140000001</v>
      </c>
    </row>
    <row r="161" spans="1:7" x14ac:dyDescent="0.2">
      <c r="A161" s="22" t="s">
        <v>38</v>
      </c>
      <c r="B161" s="137">
        <f>'DOE25'!F500</f>
        <v>320000</v>
      </c>
      <c r="C161" s="137">
        <f>'DOE25'!G500</f>
        <v>105000</v>
      </c>
      <c r="D161" s="137">
        <f>'DOE25'!H500</f>
        <v>1200000</v>
      </c>
      <c r="E161" s="137">
        <f>'DOE25'!I500</f>
        <v>290000</v>
      </c>
      <c r="F161" s="137">
        <f>'DOE25'!J500</f>
        <v>0</v>
      </c>
      <c r="G161" s="138">
        <f t="shared" si="0"/>
        <v>1915000</v>
      </c>
    </row>
    <row r="162" spans="1:7" x14ac:dyDescent="0.2">
      <c r="A162" s="22" t="s">
        <v>39</v>
      </c>
      <c r="B162" s="137">
        <f>'DOE25'!F501</f>
        <v>9200</v>
      </c>
      <c r="C162" s="137">
        <f>'DOE25'!G501</f>
        <v>3084</v>
      </c>
      <c r="D162" s="137">
        <f>'DOE25'!H501</f>
        <v>505500</v>
      </c>
      <c r="E162" s="137">
        <f>'DOE25'!I501</f>
        <v>53118.76</v>
      </c>
      <c r="F162" s="137">
        <f>'DOE25'!J501</f>
        <v>0</v>
      </c>
      <c r="G162" s="138">
        <f t="shared" si="0"/>
        <v>570902.76</v>
      </c>
    </row>
    <row r="163" spans="1:7" x14ac:dyDescent="0.2">
      <c r="A163" s="22" t="s">
        <v>246</v>
      </c>
      <c r="B163" s="137">
        <f>'DOE25'!F502</f>
        <v>329200</v>
      </c>
      <c r="C163" s="137">
        <f>'DOE25'!G502</f>
        <v>108084</v>
      </c>
      <c r="D163" s="137">
        <f>'DOE25'!H502</f>
        <v>1705500</v>
      </c>
      <c r="E163" s="137">
        <f>'DOE25'!I502</f>
        <v>343118.76</v>
      </c>
      <c r="F163" s="137">
        <f>'DOE25'!J502</f>
        <v>0</v>
      </c>
      <c r="G163" s="138">
        <f t="shared" si="0"/>
        <v>2485902.7599999998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4" sqref="C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>Derry Cooperative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13194</v>
      </c>
    </row>
    <row r="5" spans="1:4" x14ac:dyDescent="0.2">
      <c r="B5" t="s">
        <v>704</v>
      </c>
      <c r="C5" s="179">
        <f>IF('DOE25'!G664+'DOE25'!G669=0,0,ROUND('DOE25'!G671,0))</f>
        <v>12688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13006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39461655</v>
      </c>
      <c r="D10" s="182">
        <f>ROUND((C10/$C$28)*100,1)</f>
        <v>52.4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14986555</v>
      </c>
      <c r="D11" s="182">
        <f>ROUND((C11/$C$28)*100,1)</f>
        <v>19.899999999999999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261427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6520912</v>
      </c>
      <c r="D15" s="182">
        <f t="shared" ref="D15:D27" si="0">ROUND((C15/$C$28)*100,1)</f>
        <v>8.6999999999999993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1284157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972213</v>
      </c>
      <c r="D17" s="182">
        <f t="shared" si="0"/>
        <v>1.3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3055129</v>
      </c>
      <c r="D18" s="182">
        <f t="shared" si="0"/>
        <v>4.0999999999999996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465011</v>
      </c>
      <c r="D19" s="182">
        <f t="shared" si="0"/>
        <v>0.6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4087094</v>
      </c>
      <c r="D20" s="182">
        <f t="shared" si="0"/>
        <v>5.4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2824881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157887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649372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563166.48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75289459.480000004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75289459.480000004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1920000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38133486</v>
      </c>
      <c r="D35" s="182">
        <f t="shared" ref="D35:D40" si="1">ROUND((C35/$C$41)*100,1)</f>
        <v>49.3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1299112.3200000003</v>
      </c>
      <c r="D36" s="182">
        <f t="shared" si="1"/>
        <v>1.7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33164473</v>
      </c>
      <c r="D37" s="182">
        <f t="shared" si="1"/>
        <v>42.9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1452493</v>
      </c>
      <c r="D38" s="182">
        <f t="shared" si="1"/>
        <v>1.9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3326349</v>
      </c>
      <c r="D39" s="182">
        <f t="shared" si="1"/>
        <v>4.3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77375913.319999993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770</v>
      </c>
      <c r="B1" s="290"/>
      <c r="C1" s="290"/>
      <c r="D1" s="290"/>
      <c r="E1" s="290"/>
      <c r="F1" s="290"/>
      <c r="G1" s="290"/>
      <c r="H1" s="290"/>
      <c r="I1" s="290"/>
      <c r="J1" s="213"/>
      <c r="K1" s="213"/>
      <c r="L1" s="213"/>
      <c r="M1" s="214"/>
    </row>
    <row r="2" spans="1:26" ht="12.75" x14ac:dyDescent="0.2">
      <c r="A2" s="295" t="s">
        <v>767</v>
      </c>
      <c r="B2" s="296"/>
      <c r="C2" s="296"/>
      <c r="D2" s="296"/>
      <c r="E2" s="296"/>
      <c r="F2" s="293" t="str">
        <f>'DOE25'!A2</f>
        <v>Derry Cooperative School District</v>
      </c>
      <c r="G2" s="294"/>
      <c r="H2" s="294"/>
      <c r="I2" s="294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1" t="s">
        <v>771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8"/>
      <c r="B4" s="219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3"/>
      <c r="O32" s="223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8"/>
      <c r="AB32" s="219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8"/>
      <c r="AO32" s="219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8"/>
      <c r="BB32" s="219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8"/>
      <c r="BO32" s="219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8"/>
      <c r="CB32" s="219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8"/>
      <c r="CO32" s="219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8"/>
      <c r="DB32" s="219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8"/>
      <c r="DO32" s="219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8"/>
      <c r="EB32" s="219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8"/>
      <c r="EO32" s="219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8"/>
      <c r="FB32" s="219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8"/>
      <c r="FO32" s="219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8"/>
      <c r="GB32" s="219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8"/>
      <c r="GO32" s="219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8"/>
      <c r="HB32" s="219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8"/>
      <c r="HO32" s="219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8"/>
      <c r="IB32" s="219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8"/>
      <c r="IO32" s="219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8"/>
      <c r="B33" s="219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8"/>
      <c r="B60" s="219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8"/>
      <c r="B61" s="219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8"/>
      <c r="B62" s="219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8"/>
      <c r="B63" s="219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8"/>
      <c r="B64" s="219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8"/>
      <c r="B65" s="219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8"/>
      <c r="B66" s="219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8"/>
      <c r="B67" s="219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8"/>
      <c r="B68" s="219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8"/>
      <c r="B69" s="219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0"/>
      <c r="B70" s="221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6" t="s">
        <v>848</v>
      </c>
      <c r="B72" s="286"/>
      <c r="C72" s="286"/>
      <c r="D72" s="286"/>
      <c r="E72" s="28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11"/>
      <c r="B74" s="21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11"/>
      <c r="B75" s="21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11"/>
      <c r="B76" s="21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11"/>
      <c r="B77" s="21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11"/>
      <c r="B78" s="21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11"/>
      <c r="B79" s="21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11"/>
      <c r="B80" s="21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11"/>
      <c r="B81" s="21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11"/>
      <c r="B82" s="21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11"/>
      <c r="B83" s="21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11"/>
      <c r="B84" s="21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11"/>
      <c r="B85" s="21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11"/>
      <c r="B86" s="21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11"/>
      <c r="B87" s="21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11"/>
      <c r="B88" s="21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11"/>
      <c r="B89" s="21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11"/>
      <c r="B90" s="211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BB0A" sheet="1" objects="1" scenarios="1"/>
  <mergeCells count="223">
    <mergeCell ref="BP40:BZ40"/>
    <mergeCell ref="CC40:CM40"/>
    <mergeCell ref="IP40:IV40"/>
    <mergeCell ref="C45:M45"/>
    <mergeCell ref="DC40:DM40"/>
    <mergeCell ref="EP40:EZ40"/>
    <mergeCell ref="C44:M44"/>
    <mergeCell ref="DP40:DZ40"/>
    <mergeCell ref="IC40:IM40"/>
    <mergeCell ref="CP40:CZ40"/>
    <mergeCell ref="P40:Z40"/>
    <mergeCell ref="AP39:AZ39"/>
    <mergeCell ref="C46:M46"/>
    <mergeCell ref="GC40:GM40"/>
    <mergeCell ref="GP40:GZ40"/>
    <mergeCell ref="HC40:HM40"/>
    <mergeCell ref="C42:M42"/>
    <mergeCell ref="FC40:FM40"/>
    <mergeCell ref="FP40:FZ40"/>
    <mergeCell ref="AC40:AM40"/>
    <mergeCell ref="AP40:AZ40"/>
    <mergeCell ref="HC39:HM39"/>
    <mergeCell ref="C43:M43"/>
    <mergeCell ref="BC40:BM40"/>
    <mergeCell ref="EC39:EM39"/>
    <mergeCell ref="GC39:GM39"/>
    <mergeCell ref="BP39:BZ39"/>
    <mergeCell ref="CC39:CM39"/>
    <mergeCell ref="CP39:CZ39"/>
    <mergeCell ref="P39:Z39"/>
    <mergeCell ref="DP39:DZ39"/>
    <mergeCell ref="HP40:HZ40"/>
    <mergeCell ref="EC40:EM40"/>
    <mergeCell ref="IP39:IV39"/>
    <mergeCell ref="EP39:EZ39"/>
    <mergeCell ref="FC39:FM39"/>
    <mergeCell ref="FP39:FZ39"/>
    <mergeCell ref="GP39:GZ39"/>
    <mergeCell ref="HP39:HZ39"/>
    <mergeCell ref="IC39:IM39"/>
    <mergeCell ref="P38:Z38"/>
    <mergeCell ref="AC38:AM38"/>
    <mergeCell ref="AP38:AZ38"/>
    <mergeCell ref="HP38:HZ38"/>
    <mergeCell ref="GC38:GM38"/>
    <mergeCell ref="GP38:GZ38"/>
    <mergeCell ref="HC38:HM38"/>
    <mergeCell ref="FP38:FZ38"/>
    <mergeCell ref="IC38:IM38"/>
    <mergeCell ref="AC39:AM39"/>
    <mergeCell ref="IP38:IV38"/>
    <mergeCell ref="CP38:CZ38"/>
    <mergeCell ref="BC38:BM38"/>
    <mergeCell ref="HP32:HZ32"/>
    <mergeCell ref="IC32:IM32"/>
    <mergeCell ref="IP32:IV32"/>
    <mergeCell ref="EP38:EZ38"/>
    <mergeCell ref="FC38:FM38"/>
    <mergeCell ref="HC32:HM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GC30:GM30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FP32:FZ32"/>
    <mergeCell ref="GC32:GM32"/>
    <mergeCell ref="DC38:DM38"/>
    <mergeCell ref="DP38:DZ38"/>
    <mergeCell ref="EC38:EM38"/>
    <mergeCell ref="DC31:DM31"/>
    <mergeCell ref="DP31:DZ31"/>
    <mergeCell ref="EC31:EM31"/>
    <mergeCell ref="BC31:BM31"/>
    <mergeCell ref="BC32:BM32"/>
    <mergeCell ref="BC39:BM39"/>
    <mergeCell ref="BP31:BZ31"/>
    <mergeCell ref="CC31:CM31"/>
    <mergeCell ref="DC32:DM32"/>
    <mergeCell ref="BP32:BZ32"/>
    <mergeCell ref="CP31:CZ31"/>
    <mergeCell ref="CC32:CM32"/>
    <mergeCell ref="DC39:DM3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EP31:EZ31"/>
    <mergeCell ref="IP30:IV30"/>
    <mergeCell ref="GP30:GZ30"/>
    <mergeCell ref="FP29:FZ29"/>
    <mergeCell ref="GC29:GM29"/>
    <mergeCell ref="GP29:GZ29"/>
    <mergeCell ref="HC29:HM29"/>
    <mergeCell ref="HC30:HM30"/>
    <mergeCell ref="HP29:HZ29"/>
    <mergeCell ref="IC29:IM29"/>
    <mergeCell ref="IP29:IV29"/>
    <mergeCell ref="C41:M41"/>
    <mergeCell ref="C33:M33"/>
    <mergeCell ref="C37:M37"/>
    <mergeCell ref="P32:Z32"/>
    <mergeCell ref="AC32:AM32"/>
    <mergeCell ref="C34:M34"/>
    <mergeCell ref="C32:M32"/>
    <mergeCell ref="C35:M35"/>
    <mergeCell ref="C36:M36"/>
    <mergeCell ref="C38:M38"/>
    <mergeCell ref="C7:M7"/>
    <mergeCell ref="C8:M8"/>
    <mergeCell ref="C13:M13"/>
    <mergeCell ref="C9:M9"/>
    <mergeCell ref="C10:M10"/>
    <mergeCell ref="C11:M11"/>
    <mergeCell ref="C12:M12"/>
    <mergeCell ref="A1:I1"/>
    <mergeCell ref="C3:M3"/>
    <mergeCell ref="C4:M4"/>
    <mergeCell ref="F2:I2"/>
    <mergeCell ref="P29:Z29"/>
    <mergeCell ref="AC29:AM29"/>
    <mergeCell ref="C28:M28"/>
    <mergeCell ref="A2:E2"/>
    <mergeCell ref="C5:M5"/>
    <mergeCell ref="C6:M6"/>
    <mergeCell ref="C30:M30"/>
    <mergeCell ref="C31:M31"/>
    <mergeCell ref="P31:Z31"/>
    <mergeCell ref="AC31:AM31"/>
    <mergeCell ref="AP31:AZ31"/>
    <mergeCell ref="AP32:AZ32"/>
    <mergeCell ref="P30:Z30"/>
    <mergeCell ref="AC30:AM30"/>
    <mergeCell ref="AP30:AZ30"/>
    <mergeCell ref="C20:M20"/>
    <mergeCell ref="DC29:DM29"/>
    <mergeCell ref="BC29:BM29"/>
    <mergeCell ref="BP29:BZ29"/>
    <mergeCell ref="CC29:CM29"/>
    <mergeCell ref="AP29:AZ29"/>
    <mergeCell ref="C14:M14"/>
    <mergeCell ref="C15:M15"/>
    <mergeCell ref="C16:M16"/>
    <mergeCell ref="C17:M17"/>
    <mergeCell ref="C18:M18"/>
    <mergeCell ref="C19:M19"/>
    <mergeCell ref="DP29:DZ29"/>
    <mergeCell ref="CC30:CM30"/>
    <mergeCell ref="BC30:BM30"/>
    <mergeCell ref="BP30:BZ30"/>
    <mergeCell ref="DC30:DM30"/>
    <mergeCell ref="DP30:DZ30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56:M56"/>
    <mergeCell ref="C57:M57"/>
    <mergeCell ref="C59:M59"/>
    <mergeCell ref="C60:M60"/>
    <mergeCell ref="C58:M58"/>
    <mergeCell ref="C62:M62"/>
    <mergeCell ref="C61:M61"/>
    <mergeCell ref="C52:M52"/>
    <mergeCell ref="C50:M50"/>
    <mergeCell ref="C47:M47"/>
    <mergeCell ref="C48:M48"/>
    <mergeCell ref="C49:M49"/>
    <mergeCell ref="C51:M51"/>
    <mergeCell ref="C77:M77"/>
    <mergeCell ref="C78:M78"/>
    <mergeCell ref="C79:M79"/>
    <mergeCell ref="C80:M80"/>
    <mergeCell ref="C81:M81"/>
    <mergeCell ref="C82:M82"/>
    <mergeCell ref="C87:M87"/>
    <mergeCell ref="C88:M88"/>
    <mergeCell ref="C89:M89"/>
    <mergeCell ref="C90:M90"/>
    <mergeCell ref="C83:M83"/>
    <mergeCell ref="C84:M84"/>
    <mergeCell ref="C85:M85"/>
    <mergeCell ref="C86:M86"/>
    <mergeCell ref="C53:M53"/>
    <mergeCell ref="C54:M54"/>
    <mergeCell ref="C55:M55"/>
    <mergeCell ref="C75:M75"/>
    <mergeCell ref="C67:M67"/>
    <mergeCell ref="C68:M68"/>
    <mergeCell ref="C69:M69"/>
    <mergeCell ref="C63:M63"/>
    <mergeCell ref="C64:M64"/>
    <mergeCell ref="C65:M65"/>
    <mergeCell ref="C76:M76"/>
    <mergeCell ref="C66:M66"/>
    <mergeCell ref="C70:M70"/>
    <mergeCell ref="A72:E72"/>
    <mergeCell ref="C73:M73"/>
    <mergeCell ref="C74:M7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2013-09-17T16:33:31Z</cp:lastPrinted>
  <dcterms:created xsi:type="dcterms:W3CDTF">1997-12-04T19:04:30Z</dcterms:created>
  <dcterms:modified xsi:type="dcterms:W3CDTF">2013-11-22T17:49:07Z</dcterms:modified>
</cp:coreProperties>
</file>