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autoCompressPictures="0"/>
  <workbookProtection workbookPassword="BB0A" lockStructure="1"/>
  <bookViews>
    <workbookView xWindow="105" yWindow="0" windowWidth="25215" windowHeight="1164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6" i="1" l="1"/>
  <c r="B36" i="12"/>
  <c r="B39" i="12"/>
  <c r="B40" i="12"/>
  <c r="C36" i="12"/>
  <c r="C39" i="12"/>
  <c r="C38" i="12"/>
  <c r="C37" i="12"/>
  <c r="B18" i="12"/>
  <c r="B21" i="12"/>
  <c r="B22" i="12"/>
  <c r="C18" i="12"/>
  <c r="C21" i="12"/>
  <c r="C20" i="12"/>
  <c r="C19" i="12"/>
  <c r="B9" i="12"/>
  <c r="B12" i="12"/>
  <c r="B13" i="12"/>
  <c r="C9" i="12"/>
  <c r="C11" i="12"/>
  <c r="C10" i="12"/>
  <c r="C12" i="12"/>
  <c r="I497" i="1"/>
  <c r="H497" i="1"/>
  <c r="G497" i="1"/>
  <c r="F497" i="1"/>
  <c r="H535" i="1"/>
  <c r="H537" i="1"/>
  <c r="F527" i="1"/>
  <c r="F522" i="1"/>
  <c r="F525" i="1"/>
  <c r="F520" i="1"/>
  <c r="K522" i="1"/>
  <c r="J522" i="1"/>
  <c r="I522" i="1"/>
  <c r="H522" i="1"/>
  <c r="G522" i="1"/>
  <c r="K520" i="1"/>
  <c r="J520" i="1"/>
  <c r="I520" i="1"/>
  <c r="H520" i="1"/>
  <c r="G520" i="1"/>
  <c r="G96" i="1"/>
  <c r="G178" i="1"/>
  <c r="H47" i="1"/>
  <c r="F49" i="1"/>
  <c r="F24" i="1"/>
  <c r="F14" i="1"/>
  <c r="F13" i="1"/>
  <c r="F9" i="1"/>
  <c r="F97" i="1"/>
  <c r="F67" i="1"/>
  <c r="C37" i="10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/>
  <c r="G44" i="2"/>
  <c r="I457" i="1"/>
  <c r="J39" i="1"/>
  <c r="G38" i="2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/>
  <c r="B4" i="12"/>
  <c r="C40" i="12"/>
  <c r="B27" i="12"/>
  <c r="C27" i="12"/>
  <c r="B31" i="12"/>
  <c r="C31" i="12"/>
  <c r="C13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/>
  <c r="G58" i="2"/>
  <c r="G60" i="2"/>
  <c r="F2" i="11"/>
  <c r="L612" i="1"/>
  <c r="H662" i="1"/>
  <c r="L611" i="1"/>
  <c r="G662" i="1"/>
  <c r="L610" i="1"/>
  <c r="F662" i="1"/>
  <c r="C40" i="10"/>
  <c r="F59" i="1"/>
  <c r="G59" i="1"/>
  <c r="H59" i="1"/>
  <c r="I59" i="1"/>
  <c r="F78" i="1"/>
  <c r="F93" i="1"/>
  <c r="F110" i="1"/>
  <c r="G110" i="1"/>
  <c r="G111" i="1"/>
  <c r="H78" i="1"/>
  <c r="H93" i="1"/>
  <c r="H110" i="1"/>
  <c r="I110" i="1"/>
  <c r="I111" i="1"/>
  <c r="J110" i="1"/>
  <c r="J111" i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C23" i="10"/>
  <c r="L253" i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/>
  <c r="L521" i="1"/>
  <c r="F549" i="1"/>
  <c r="L522" i="1"/>
  <c r="F550" i="1"/>
  <c r="L525" i="1"/>
  <c r="G548" i="1"/>
  <c r="L526" i="1"/>
  <c r="G549" i="1"/>
  <c r="L527" i="1"/>
  <c r="G550" i="1"/>
  <c r="L530" i="1"/>
  <c r="H548" i="1"/>
  <c r="L531" i="1"/>
  <c r="H549" i="1"/>
  <c r="L532" i="1"/>
  <c r="H550" i="1"/>
  <c r="L535" i="1"/>
  <c r="I548" i="1"/>
  <c r="L536" i="1"/>
  <c r="I549" i="1"/>
  <c r="L537" i="1"/>
  <c r="I550" i="1"/>
  <c r="L540" i="1"/>
  <c r="J548" i="1"/>
  <c r="L541" i="1"/>
  <c r="J549" i="1"/>
  <c r="L542" i="1"/>
  <c r="J550" i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/>
  <c r="G8" i="2"/>
  <c r="C9" i="2"/>
  <c r="D9" i="2"/>
  <c r="E9" i="2"/>
  <c r="F9" i="2"/>
  <c r="I439" i="1"/>
  <c r="J10" i="1"/>
  <c r="G9" i="2"/>
  <c r="C10" i="2"/>
  <c r="C11" i="2"/>
  <c r="D11" i="2"/>
  <c r="E11" i="2"/>
  <c r="F11" i="2"/>
  <c r="I440" i="1"/>
  <c r="J12" i="1"/>
  <c r="G11" i="2"/>
  <c r="C12" i="2"/>
  <c r="D12" i="2"/>
  <c r="E12" i="2"/>
  <c r="F12" i="2"/>
  <c r="I441" i="1"/>
  <c r="J13" i="1"/>
  <c r="G12" i="2"/>
  <c r="C13" i="2"/>
  <c r="D13" i="2"/>
  <c r="E13" i="2"/>
  <c r="F13" i="2"/>
  <c r="I442" i="1"/>
  <c r="J14" i="1"/>
  <c r="G13" i="2"/>
  <c r="F14" i="2"/>
  <c r="C15" i="2"/>
  <c r="D15" i="2"/>
  <c r="E15" i="2"/>
  <c r="F15" i="2"/>
  <c r="C16" i="2"/>
  <c r="D16" i="2"/>
  <c r="E16" i="2"/>
  <c r="F16" i="2"/>
  <c r="I443" i="1"/>
  <c r="J17" i="1"/>
  <c r="C17" i="2"/>
  <c r="D17" i="2"/>
  <c r="E17" i="2"/>
  <c r="F17" i="2"/>
  <c r="I444" i="1"/>
  <c r="J18" i="1"/>
  <c r="G17" i="2"/>
  <c r="C21" i="2"/>
  <c r="D21" i="2"/>
  <c r="E21" i="2"/>
  <c r="F21" i="2"/>
  <c r="I447" i="1"/>
  <c r="J22" i="1"/>
  <c r="C22" i="2"/>
  <c r="D22" i="2"/>
  <c r="E22" i="2"/>
  <c r="F22" i="2"/>
  <c r="I448" i="1"/>
  <c r="J23" i="1"/>
  <c r="C23" i="2"/>
  <c r="D23" i="2"/>
  <c r="E23" i="2"/>
  <c r="F23" i="2"/>
  <c r="I449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/>
  <c r="G30" i="2"/>
  <c r="C34" i="2"/>
  <c r="D34" i="2"/>
  <c r="E34" i="2"/>
  <c r="F34" i="2"/>
  <c r="C35" i="2"/>
  <c r="D35" i="2"/>
  <c r="E35" i="2"/>
  <c r="F35" i="2"/>
  <c r="I453" i="1"/>
  <c r="J48" i="1"/>
  <c r="G47" i="2"/>
  <c r="I455" i="1"/>
  <c r="J43" i="1"/>
  <c r="I456" i="1"/>
  <c r="J37" i="1"/>
  <c r="I458" i="1"/>
  <c r="J47" i="1"/>
  <c r="G46" i="2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/>
  <c r="F127" i="2"/>
  <c r="G127" i="2"/>
  <c r="C129" i="2"/>
  <c r="E129" i="2"/>
  <c r="F129" i="2"/>
  <c r="D133" i="2"/>
  <c r="D143" i="2"/>
  <c r="D144" i="2"/>
  <c r="E133" i="2"/>
  <c r="F133" i="2"/>
  <c r="K418" i="1"/>
  <c r="K426" i="1"/>
  <c r="K432" i="1"/>
  <c r="L262" i="1"/>
  <c r="C134" i="2"/>
  <c r="E134" i="2"/>
  <c r="L263" i="1"/>
  <c r="C135" i="2"/>
  <c r="L264" i="1"/>
  <c r="C136" i="2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B163" i="2"/>
  <c r="G502" i="1"/>
  <c r="C163" i="2"/>
  <c r="H502" i="1"/>
  <c r="D163" i="2"/>
  <c r="I502" i="1"/>
  <c r="E163" i="2"/>
  <c r="J502" i="1"/>
  <c r="F163" i="2"/>
  <c r="F19" i="1"/>
  <c r="G19" i="1"/>
  <c r="H19" i="1"/>
  <c r="I19" i="1"/>
  <c r="F32" i="1"/>
  <c r="G32" i="1"/>
  <c r="H32" i="1"/>
  <c r="I32" i="1"/>
  <c r="F50" i="1"/>
  <c r="F51" i="1"/>
  <c r="H616" i="1"/>
  <c r="G50" i="1"/>
  <c r="G51" i="1"/>
  <c r="H617" i="1"/>
  <c r="H50" i="1"/>
  <c r="H51" i="1"/>
  <c r="H618" i="1"/>
  <c r="I50" i="1"/>
  <c r="I51" i="1"/>
  <c r="H619" i="1"/>
  <c r="F176" i="1"/>
  <c r="I176" i="1"/>
  <c r="F182" i="1"/>
  <c r="G182" i="1"/>
  <c r="H182" i="1"/>
  <c r="I182" i="1"/>
  <c r="J182" i="1"/>
  <c r="J191" i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K336" i="1"/>
  <c r="L336" i="1"/>
  <c r="J337" i="1"/>
  <c r="J351" i="1"/>
  <c r="K337" i="1"/>
  <c r="K351" i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/>
  <c r="G635" i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/>
  <c r="I597" i="1"/>
  <c r="H649" i="1"/>
  <c r="J597" i="1"/>
  <c r="H650" i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J648" i="1"/>
  <c r="G649" i="1"/>
  <c r="G650" i="1"/>
  <c r="G651" i="1"/>
  <c r="H651" i="1"/>
  <c r="G652" i="1"/>
  <c r="H652" i="1"/>
  <c r="G653" i="1"/>
  <c r="H653" i="1"/>
  <c r="H654" i="1"/>
  <c r="F191" i="1"/>
  <c r="L255" i="1"/>
  <c r="L256" i="1"/>
  <c r="L270" i="1"/>
  <c r="G631" i="1"/>
  <c r="K256" i="1"/>
  <c r="K270" i="1"/>
  <c r="I256" i="1"/>
  <c r="I270" i="1"/>
  <c r="G256" i="1"/>
  <c r="G270" i="1"/>
  <c r="G163" i="2"/>
  <c r="G159" i="2"/>
  <c r="C18" i="2"/>
  <c r="F31" i="2"/>
  <c r="C26" i="10"/>
  <c r="L327" i="1"/>
  <c r="H659" i="1"/>
  <c r="H663" i="1"/>
  <c r="L350" i="1"/>
  <c r="I661" i="1"/>
  <c r="L289" i="1"/>
  <c r="F659" i="1"/>
  <c r="A31" i="12"/>
  <c r="C69" i="2"/>
  <c r="A40" i="12"/>
  <c r="D12" i="13"/>
  <c r="C12" i="13"/>
  <c r="G161" i="2"/>
  <c r="D61" i="2"/>
  <c r="D62" i="2"/>
  <c r="E49" i="2"/>
  <c r="D18" i="13"/>
  <c r="C18" i="13"/>
  <c r="D15" i="13"/>
  <c r="C15" i="13"/>
  <c r="D7" i="13"/>
  <c r="C7" i="13"/>
  <c r="F102" i="2"/>
  <c r="D18" i="2"/>
  <c r="E18" i="2"/>
  <c r="D17" i="13"/>
  <c r="C17" i="13"/>
  <c r="D6" i="13"/>
  <c r="C6" i="13"/>
  <c r="E8" i="13"/>
  <c r="C8" i="13"/>
  <c r="G158" i="2"/>
  <c r="C90" i="2"/>
  <c r="G80" i="2"/>
  <c r="F77" i="2"/>
  <c r="F80" i="2"/>
  <c r="F61" i="2"/>
  <c r="F62" i="2"/>
  <c r="D31" i="2"/>
  <c r="C127" i="2"/>
  <c r="C77" i="2"/>
  <c r="C80" i="2"/>
  <c r="D49" i="2"/>
  <c r="G156" i="2"/>
  <c r="F49" i="2"/>
  <c r="F50" i="2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/>
  <c r="C61" i="2"/>
  <c r="C62" i="2"/>
  <c r="E31" i="2"/>
  <c r="C31" i="2"/>
  <c r="G61" i="2"/>
  <c r="D29" i="13"/>
  <c r="C29" i="13"/>
  <c r="D19" i="13"/>
  <c r="C19" i="13"/>
  <c r="D14" i="13"/>
  <c r="C14" i="13"/>
  <c r="E13" i="13"/>
  <c r="C13" i="13"/>
  <c r="J616" i="1"/>
  <c r="E77" i="2"/>
  <c r="E80" i="2"/>
  <c r="L426" i="1"/>
  <c r="J256" i="1"/>
  <c r="J270" i="1"/>
  <c r="H111" i="1"/>
  <c r="F111" i="1"/>
  <c r="J640" i="1"/>
  <c r="J638" i="1"/>
  <c r="K604" i="1"/>
  <c r="G647" i="1"/>
  <c r="J570" i="1"/>
  <c r="K570" i="1"/>
  <c r="L432" i="1"/>
  <c r="L418" i="1"/>
  <c r="D80" i="2"/>
  <c r="I168" i="1"/>
  <c r="H168" i="1"/>
  <c r="G551" i="1"/>
  <c r="E50" i="2"/>
  <c r="J643" i="1"/>
  <c r="J642" i="1"/>
  <c r="J475" i="1"/>
  <c r="H625" i="1"/>
  <c r="H475" i="1"/>
  <c r="H623" i="1"/>
  <c r="J623" i="1"/>
  <c r="F475" i="1"/>
  <c r="H621" i="1"/>
  <c r="J621" i="1"/>
  <c r="I475" i="1"/>
  <c r="H624" i="1"/>
  <c r="J624" i="1"/>
  <c r="G475" i="1"/>
  <c r="H622" i="1"/>
  <c r="J622" i="1"/>
  <c r="G337" i="1"/>
  <c r="G351" i="1"/>
  <c r="F168" i="1"/>
  <c r="J139" i="1"/>
  <c r="F570" i="1"/>
  <c r="H256" i="1"/>
  <c r="H270" i="1"/>
  <c r="F663" i="1"/>
  <c r="F671" i="1"/>
  <c r="C4" i="10" s="1"/>
  <c r="I551" i="1"/>
  <c r="K548" i="1"/>
  <c r="K549" i="1"/>
  <c r="G22" i="2"/>
  <c r="K597" i="1"/>
  <c r="G646" i="1"/>
  <c r="J646" i="1"/>
  <c r="K544" i="1"/>
  <c r="J551" i="1"/>
  <c r="H551" i="1"/>
  <c r="C29" i="10"/>
  <c r="I660" i="1"/>
  <c r="H139" i="1"/>
  <c r="L400" i="1"/>
  <c r="C138" i="2"/>
  <c r="L392" i="1"/>
  <c r="A13" i="12"/>
  <c r="F22" i="13"/>
  <c r="H25" i="13"/>
  <c r="C25" i="13"/>
  <c r="J650" i="1"/>
  <c r="J639" i="1"/>
  <c r="J633" i="1"/>
  <c r="H570" i="1"/>
  <c r="L559" i="1"/>
  <c r="J544" i="1"/>
  <c r="H337" i="1"/>
  <c r="H351" i="1"/>
  <c r="F337" i="1"/>
  <c r="F351" i="1"/>
  <c r="G191" i="1"/>
  <c r="H191" i="1"/>
  <c r="E127" i="2"/>
  <c r="E144" i="2"/>
  <c r="F551" i="1"/>
  <c r="C35" i="10"/>
  <c r="L308" i="1"/>
  <c r="D5" i="13"/>
  <c r="C5" i="13"/>
  <c r="E16" i="13"/>
  <c r="E33" i="13"/>
  <c r="D35" i="13"/>
  <c r="C49" i="2"/>
  <c r="C50" i="2"/>
  <c r="J654" i="1"/>
  <c r="J644" i="1"/>
  <c r="L569" i="1"/>
  <c r="I570" i="1"/>
  <c r="I544" i="1"/>
  <c r="J635" i="1"/>
  <c r="G36" i="2"/>
  <c r="L564" i="1"/>
  <c r="G544" i="1"/>
  <c r="L544" i="1"/>
  <c r="H544" i="1"/>
  <c r="K550" i="1"/>
  <c r="K551" i="1"/>
  <c r="C22" i="13"/>
  <c r="C137" i="2"/>
  <c r="C16" i="13"/>
  <c r="H33" i="13"/>
  <c r="F666" i="1"/>
  <c r="L337" i="1"/>
  <c r="L351" i="1"/>
  <c r="G632" i="1"/>
  <c r="J632" i="1"/>
  <c r="C24" i="10"/>
  <c r="G659" i="1"/>
  <c r="G663" i="1"/>
  <c r="G31" i="13"/>
  <c r="G33" i="13"/>
  <c r="I337" i="1"/>
  <c r="I351" i="1"/>
  <c r="J649" i="1"/>
  <c r="L406" i="1"/>
  <c r="C139" i="2"/>
  <c r="C140" i="2"/>
  <c r="C143" i="2"/>
  <c r="C144" i="2"/>
  <c r="L570" i="1"/>
  <c r="J631" i="1"/>
  <c r="I191" i="1"/>
  <c r="E90" i="2"/>
  <c r="L407" i="1"/>
  <c r="G636" i="1"/>
  <c r="J636" i="1"/>
  <c r="D50" i="2"/>
  <c r="J653" i="1"/>
  <c r="J652" i="1"/>
  <c r="F143" i="2"/>
  <c r="F144" i="2" s="1"/>
  <c r="G21" i="2"/>
  <c r="G31" i="2"/>
  <c r="J32" i="1"/>
  <c r="L433" i="1"/>
  <c r="G637" i="1"/>
  <c r="J637" i="1"/>
  <c r="J433" i="1"/>
  <c r="F433" i="1"/>
  <c r="K433" i="1"/>
  <c r="G133" i="2"/>
  <c r="G143" i="2"/>
  <c r="G144" i="2"/>
  <c r="H666" i="1"/>
  <c r="H671" i="1"/>
  <c r="C6" i="10" s="1"/>
  <c r="F31" i="13"/>
  <c r="I659" i="1"/>
  <c r="J192" i="1"/>
  <c r="G645" i="1"/>
  <c r="F103" i="2"/>
  <c r="H192" i="1"/>
  <c r="G628" i="1"/>
  <c r="J628" i="1"/>
  <c r="G168" i="1"/>
  <c r="C39" i="10"/>
  <c r="G139" i="1"/>
  <c r="F139" i="1"/>
  <c r="F192" i="1"/>
  <c r="G626" i="1"/>
  <c r="J626" i="1"/>
  <c r="C36" i="10"/>
  <c r="G62" i="2"/>
  <c r="G103" i="2"/>
  <c r="J617" i="1"/>
  <c r="G666" i="1"/>
  <c r="G671" i="1"/>
  <c r="C5" i="10"/>
  <c r="G42" i="2"/>
  <c r="J50" i="1"/>
  <c r="G16" i="2"/>
  <c r="J19" i="1"/>
  <c r="G620" i="1"/>
  <c r="F33" i="13"/>
  <c r="D31" i="13"/>
  <c r="C31" i="13"/>
  <c r="G18" i="2"/>
  <c r="F544" i="1"/>
  <c r="H433" i="1"/>
  <c r="J619" i="1"/>
  <c r="J618" i="1"/>
  <c r="D102" i="2"/>
  <c r="D103" i="2"/>
  <c r="I139" i="1"/>
  <c r="I192" i="1"/>
  <c r="G629" i="1"/>
  <c r="J629" i="1"/>
  <c r="A22" i="12"/>
  <c r="H645" i="1"/>
  <c r="G49" i="2"/>
  <c r="G50" i="2"/>
  <c r="H647" i="1"/>
  <c r="J647" i="1"/>
  <c r="C103" i="2"/>
  <c r="J651" i="1"/>
  <c r="J641" i="1"/>
  <c r="G570" i="1"/>
  <c r="I433" i="1"/>
  <c r="G433" i="1"/>
  <c r="E103" i="2"/>
  <c r="I662" i="1"/>
  <c r="C27" i="10"/>
  <c r="C28" i="10"/>
  <c r="G634" i="1"/>
  <c r="J634" i="1"/>
  <c r="G630" i="1"/>
  <c r="J630" i="1"/>
  <c r="I663" i="1"/>
  <c r="I671" i="1"/>
  <c r="C7" i="10" s="1"/>
  <c r="D33" i="13"/>
  <c r="D36" i="13"/>
  <c r="J645" i="1"/>
  <c r="G192" i="1"/>
  <c r="G627" i="1"/>
  <c r="J627" i="1"/>
  <c r="G625" i="1"/>
  <c r="J625" i="1"/>
  <c r="J51" i="1"/>
  <c r="H620" i="1"/>
  <c r="J620" i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6" i="1"/>
  <c r="H655" i="1"/>
  <c r="D28" i="10"/>
  <c r="C41" i="10"/>
  <c r="D38" i="10"/>
  <c r="D37" i="10"/>
  <c r="D36" i="10"/>
  <c r="D35" i="10"/>
  <c r="D40" i="10"/>
  <c r="D39" i="10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<sst xmlns="http://schemas.openxmlformats.org/spreadsheetml/2006/main" count="3952" uniqueCount="915">
  <si>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</si>
  <si>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</si>
  <si>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</si>
  <si>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</si>
  <si>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</si>
  <si>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</si>
  <si>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</si>
  <si>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</si>
  <si>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</si>
  <si>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</si>
  <si>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</si>
  <si>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</si>
  <si>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</si>
  <si>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</si>
  <si>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</si>
  <si>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</si>
  <si>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</si>
  <si>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</si>
  <si>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</si>
  <si>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</si>
  <si>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</si>
  <si>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</si>
  <si>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</si>
  <si>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</si>
  <si>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</si>
  <si>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</si>
  <si>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</si>
  <si>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</si>
  <si>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</si>
  <si>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</si>
  <si>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</si>
  <si>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</si>
  <si>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</si>
  <si>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</si>
  <si>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</si>
  <si>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</si>
  <si>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</si>
  <si>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</si>
  <si>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</si>
  <si>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</si>
  <si>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</si>
  <si>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</si>
  <si>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</si>
  <si>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</si>
  <si>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</si>
  <si>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</si>
  <si>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</si>
  <si>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</si>
  <si>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</si>
  <si>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</si>
  <si>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</si>
  <si>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</si>
  <si>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</si>
  <si>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</si>
  <si>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</si>
  <si>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</si>
  <si>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</si>
  <si>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</si>
  <si>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</si>
  <si>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</si>
  <si>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</si>
  <si>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</si>
  <si>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</si>
  <si>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</si>
  <si>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</si>
  <si>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</si>
  <si>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</si>
  <si>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</si>
  <si>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</si>
  <si>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</si>
  <si>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</si>
  <si>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</si>
  <si>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</si>
  <si>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</si>
  <si>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</si>
  <si>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</si>
  <si>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</si>
  <si>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</si>
  <si>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</si>
  <si>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</si>
  <si>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</si>
  <si>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</si>
  <si>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</si>
  <si>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</si>
  <si>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</si>
  <si>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</si>
  <si>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</si>
  <si>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</si>
  <si>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</si>
  <si>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</si>
  <si>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</si>
  <si>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</si>
  <si>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</si>
  <si>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</si>
  <si>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</si>
  <si>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</si>
  <si>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</si>
  <si>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</si>
  <si>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</si>
  <si>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</si>
  <si>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</si>
  <si>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</si>
  <si>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</si>
  <si>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</si>
  <si>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</si>
  <si>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</si>
  <si>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</si>
  <si>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</si>
  <si>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</si>
  <si>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</si>
  <si>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</si>
  <si>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</si>
  <si>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</si>
  <si>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</si>
  <si>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</si>
  <si>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</si>
  <si>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</si>
  <si>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</si>
  <si>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</si>
  <si>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</si>
  <si>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</si>
  <si>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</si>
  <si>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</si>
  <si>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</si>
  <si>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</si>
  <si>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</si>
  <si>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</si>
  <si>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</si>
  <si>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</si>
  <si>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</si>
  <si>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</si>
  <si>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</si>
  <si>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</si>
  <si>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</si>
  <si>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</si>
  <si>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</si>
  <si>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</si>
  <si>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</si>
  <si>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</si>
  <si>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</si>
  <si>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</si>
  <si>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</si>
  <si>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</si>
  <si>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</si>
  <si>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</si>
  <si>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</si>
  <si>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</si>
  <si>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</si>
  <si>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</si>
  <si>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</si>
  <si>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</si>
  <si>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</si>
  <si>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</si>
  <si>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</si>
  <si>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</si>
  <si>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</si>
  <si>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</si>
  <si>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</si>
  <si>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</si>
  <si>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</si>
  <si>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</si>
  <si>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</si>
  <si>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</si>
  <si>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</si>
  <si>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</si>
  <si>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</si>
  <si>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</si>
  <si>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</si>
  <si>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</si>
  <si>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</si>
  <si>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</si>
  <si>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</si>
  <si>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</si>
  <si>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</si>
  <si>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</si>
  <si>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</si>
  <si>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</si>
  <si>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</si>
  <si>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</si>
  <si>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</si>
  <si>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</si>
  <si>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</si>
  <si>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</si>
  <si>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</si>
  <si>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</si>
  <si>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</si>
  <si>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</si>
  <si>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</si>
  <si>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</si>
  <si>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</si>
  <si>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</si>
  <si>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</si>
  <si>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</si>
  <si>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</si>
  <si>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</si>
  <si>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</si>
  <si>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</si>
  <si>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</si>
  <si>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</si>
  <si>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</si>
  <si>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</si>
  <si>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</si>
  <si>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</si>
  <si>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</si>
  <si>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</si>
  <si>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</si>
  <si>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</si>
  <si>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</si>
  <si>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</si>
  <si>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</si>
  <si>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</si>
  <si>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</si>
  <si>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</si>
  <si>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</si>
  <si>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</si>
  <si>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</si>
  <si>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</si>
  <si>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</si>
  <si>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</si>
  <si>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</si>
  <si>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</si>
  <si>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</si>
  <si>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</si>
  <si>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</si>
  <si>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</si>
  <si>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</si>
  <si>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</si>
  <si>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</si>
  <si>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</si>
  <si>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</si>
  <si>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</si>
  <si>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</si>
  <si>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</si>
  <si>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</si>
  <si>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</si>
  <si>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</si>
  <si>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</si>
  <si>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</si>
  <si>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</si>
  <si>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</si>
  <si>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</si>
  <si>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</si>
  <si>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</si>
  <si>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</si>
  <si>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</si>
  <si>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</si>
  <si>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</si>
  <si>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</si>
  <si>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</si>
  <si>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</si>
  <si>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</si>
  <si>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</si>
  <si>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</si>
  <si>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</si>
  <si>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</si>
  <si>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</si>
  <si>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</si>
  <si>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</si>
  <si>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</si>
  <si>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</si>
  <si>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</si>
  <si>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</si>
  <si>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</si>
  <si>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</si>
  <si>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</si>
  <si>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</si>
  <si>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</si>
  <si>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</si>
  <si>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</si>
  <si>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</si>
  <si>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</si>
  <si>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</si>
  <si>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</si>
  <si>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</si>
  <si>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</si>
  <si>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</si>
  <si>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</si>
  <si>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</si>
  <si>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</si>
  <si>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</si>
  <si>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</si>
  <si>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</si>
  <si>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</si>
  <si>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</si>
  <si>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</si>
  <si>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</si>
  <si>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</si>
  <si>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</si>
  <si>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</si>
  <si>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</si>
  <si>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</si>
  <si>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</si>
  <si>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</si>
  <si>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</si>
  <si>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</si>
  <si>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</si>
  <si>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</si>
  <si>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</si>
  <si>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</si>
  <si>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</si>
  <si>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</si>
  <si>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</si>
  <si>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</si>
  <si>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</si>
  <si>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</si>
  <si>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</si>
  <si>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</si>
  <si>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</si>
  <si>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</si>
  <si>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</si>
  <si>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</si>
  <si>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</si>
  <si>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</si>
  <si>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</si>
  <si>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</si>
  <si>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</si>
  <si>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</si>
  <si>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</si>
  <si>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</si>
  <si>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</si>
  <si>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</si>
  <si>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</si>
  <si>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</si>
  <si>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</si>
  <si>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</si>
  <si>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</si>
  <si>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</si>
  <si>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</si>
  <si>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</si>
  <si>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</si>
  <si>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</si>
  <si>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</si>
  <si>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</si>
  <si>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</si>
  <si>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</si>
  <si>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</si>
  <si>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</si>
  <si>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</si>
  <si>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</si>
  <si>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</si>
  <si>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</si>
  <si>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</si>
  <si>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</si>
  <si>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</si>
  <si>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</si>
  <si>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</si>
  <si>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</si>
  <si>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</si>
  <si>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</si>
  <si>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</si>
  <si>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</si>
  <si>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</si>
  <si>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</si>
  <si>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</si>
  <si>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</si>
  <si>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</si>
  <si>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</si>
  <si>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</si>
  <si>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</si>
  <si>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</si>
  <si>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</si>
  <si>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</si>
  <si>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</si>
  <si>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</si>
  <si>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</si>
  <si>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</si>
  <si>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</si>
  <si>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</si>
  <si>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</si>
  <si>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</si>
  <si>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</si>
  <si>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</si>
  <si>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</si>
  <si>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</si>
  <si>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</si>
  <si>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</si>
  <si>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</si>
  <si>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</si>
  <si>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</si>
  <si>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</si>
  <si>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</si>
  <si>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</si>
  <si>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</si>
  <si>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</si>
  <si>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</si>
  <si>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</si>
  <si>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</si>
  <si>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</si>
  <si>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</si>
  <si>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</si>
  <si>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</si>
  <si>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</si>
  <si>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</si>
  <si>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</si>
  <si>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</si>
  <si>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</si>
  <si>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</si>
  <si>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</si>
  <si>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</si>
  <si>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</si>
  <si>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</si>
  <si>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</si>
  <si>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</si>
  <si>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</si>
  <si>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</si>
  <si>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</si>
  <si>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</si>
  <si>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</si>
  <si>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</si>
  <si>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</si>
  <si>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</si>
  <si>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</si>
  <si>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</si>
  <si>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</si>
  <si>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</si>
  <si>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</si>
  <si>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</si>
  <si>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</si>
  <si>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</si>
  <si>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</si>
  <si>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</si>
  <si>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</si>
  <si>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</si>
  <si>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</si>
  <si>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</si>
  <si>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</si>
  <si>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</si>
  <si>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</si>
  <si>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</si>
  <si>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</si>
  <si>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</si>
  <si>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</si>
  <si>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</si>
  <si>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</si>
  <si>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</si>
  <si>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</si>
  <si>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</si>
  <si>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</si>
  <si>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</si>
  <si>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</si>
  <si>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</si>
  <si>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</si>
  <si>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</si>
  <si>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</si>
  <si>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</si>
  <si>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</si>
  <si>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</si>
  <si>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</si>
  <si>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</si>
  <si>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</si>
  <si>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</si>
  <si>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</si>
  <si>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</si>
  <si>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</si>
  <si>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</si>
  <si>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</si>
  <si>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</si>
  <si>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</si>
  <si>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</si>
  <si>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</si>
  <si>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</si>
  <si>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</si>
  <si>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</si>
  <si>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</si>
  <si>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</si>
  <si>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</si>
  <si>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</si>
  <si>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</si>
  <si>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</si>
  <si>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</si>
  <si>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</si>
  <si>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</si>
  <si>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</si>
  <si>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</si>
  <si>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</si>
  <si>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</si>
  <si>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</si>
  <si>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</si>
  <si>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</si>
  <si>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</si>
  <si>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</si>
  <si>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</si>
  <si>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</si>
  <si>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</si>
  <si>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</si>
  <si>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</si>
  <si>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</si>
  <si>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</si>
  <si>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</si>
  <si>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</si>
  <si>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</si>
  <si>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</si>
  <si>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</si>
  <si>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</si>
  <si>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</si>
  <si>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</si>
  <si>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</si>
  <si>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</si>
  <si>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</si>
  <si>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</si>
  <si>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</si>
  <si>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</si>
  <si>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</si>
  <si>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</si>
  <si>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</si>
  <si>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</si>
  <si>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</si>
  <si>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</si>
  <si>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</si>
  <si>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</si>
  <si>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</si>
  <si>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</si>
  <si>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</si>
  <si>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</si>
  <si>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</si>
  <si>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</si>
  <si>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</si>
  <si>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</si>
  <si>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</si>
  <si>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</si>
  <si>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</si>
  <si>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</si>
  <si>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</si>
  <si>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</si>
  <si>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</si>
  <si>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</si>
  <si>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</si>
  <si>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</si>
  <si>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</si>
  <si>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</si>
  <si>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</si>
  <si>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</si>
  <si>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</si>
  <si>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</si>
  <si>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</si>
  <si>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</si>
  <si>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</si>
  <si>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</si>
  <si>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</si>
  <si>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</si>
  <si>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</si>
  <si>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</si>
  <si>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</si>
  <si>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</si>
  <si>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</si>
  <si>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</si>
  <si>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</si>
  <si>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</si>
  <si>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</si>
  <si>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</si>
  <si>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</si>
  <si>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</si>
  <si>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</si>
  <si>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</si>
  <si>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</si>
  <si>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</si>
  <si>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</si>
  <si>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</si>
  <si>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</si>
  <si>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</si>
  <si>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</si>
  <si>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</si>
  <si>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</si>
  <si>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</si>
  <si>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</si>
  <si>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</si>
  <si>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</si>
  <si>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</si>
  <si>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</si>
  <si>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</si>
  <si>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</si>
  <si>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</si>
  <si>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</si>
  <si>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</si>
  <si>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</si>
  <si>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</si>
  <si>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</si>
  <si>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</si>
  <si>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</si>
  <si>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</si>
  <si>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</si>
  <si>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</si>
  <si>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</si>
  <si>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</si>
  <si>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</si>
  <si>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</si>
  <si>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</si>
  <si>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</si>
  <si>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</si>
  <si>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</si>
  <si>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</si>
  <si>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</si>
  <si>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</si>
  <si>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</si>
  <si>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</si>
  <si>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</si>
  <si>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</si>
  <si>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</si>
  <si>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</si>
  <si>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</si>
  <si>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</si>
  <si>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</si>
  <si>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</si>
  <si>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</si>
  <si>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</si>
  <si>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</si>
  <si>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</si>
  <si>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</si>
  <si>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</si>
  <si>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</si>
  <si>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</si>
  <si>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</si>
  <si>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</si>
  <si>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</si>
  <si>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</si>
  <si>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</si>
  <si>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</si>
  <si>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</si>
  <si>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</si>
  <si>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</si>
  <si>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</si>
  <si>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</si>
  <si>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</si>
  <si>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</si>
  <si>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</si>
  <si>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</si>
  <si>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</si>
  <si>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</si>
  <si>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</si>
  <si>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</si>
  <si>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</si>
  <si>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</si>
  <si>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</si>
  <si>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</si>
  <si>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</si>
  <si>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</si>
  <si>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</si>
  <si>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</si>
  <si>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</si>
  <si>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</si>
  <si>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</si>
  <si>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</si>
  <si>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</si>
  <si>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</si>
  <si>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</si>
  <si>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</si>
  <si>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</si>
  <si>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</si>
  <si>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</si>
  <si>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</si>
  <si>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</si>
  <si>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</si>
  <si>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</si>
  <si>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</si>
  <si>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</si>
  <si>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</si>
  <si>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</si>
  <si>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</si>
  <si>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</si>
  <si>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</si>
  <si>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</si>
  <si>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</si>
  <si>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</si>
  <si>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</si>
  <si>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</si>
  <si>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</si>
  <si>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</si>
  <si>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</si>
  <si>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</si>
  <si>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</si>
  <si>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</si>
  <si>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</si>
  <si>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</si>
  <si>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</si>
  <si>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</si>
  <si>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</si>
  <si>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</si>
  <si>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</si>
  <si>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</si>
  <si>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</si>
  <si>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</si>
  <si>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</si>
  <si>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</si>
  <si>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</si>
  <si>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</si>
  <si>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</si>
  <si>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</si>
  <si>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</si>
  <si>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</si>
  <si>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</si>
  <si>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</si>
  <si>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</si>
  <si>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</si>
  <si>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</si>
  <si>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</si>
  <si>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</si>
  <si>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</si>
  <si>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</si>
  <si>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</si>
  <si>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</si>
  <si>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</si>
  <si>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</si>
  <si>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</si>
  <si>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</si>
  <si>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</si>
  <si>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</si>
  <si>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</si>
  <si>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</si>
  <si>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</si>
  <si>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</si>
  <si>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</si>
  <si>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</si>
  <si>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</si>
  <si>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</si>
  <si>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</si>
  <si>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</si>
  <si>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</si>
  <si>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</si>
  <si>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</si>
  <si>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</si>
  <si>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</si>
  <si>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</si>
  <si>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</si>
  <si>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</si>
  <si>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</si>
  <si>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</si>
  <si>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</si>
  <si>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</si>
  <si>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</si>
  <si>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</si>
  <si>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</si>
  <si>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</si>
  <si>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</si>
  <si>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</si>
  <si>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</si>
  <si>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</si>
  <si>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</si>
  <si>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</si>
  <si>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</si>
  <si>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</si>
  <si>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</si>
  <si>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</si>
  <si>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</si>
  <si>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</si>
  <si>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</si>
  <si>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</si>
  <si>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</si>
  <si>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</si>
  <si>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</si>
  <si>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</si>
  <si>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</si>
  <si>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</si>
  <si>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</si>
  <si>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</si>
  <si>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</si>
  <si>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</si>
  <si>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</si>
  <si>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</si>
  <si>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</si>
  <si>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</si>
  <si>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</si>
  <si>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</si>
  <si>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</si>
  <si>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</si>
  <si>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</si>
  <si>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</si>
  <si>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</si>
  <si>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</si>
  <si>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</si>
  <si>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</si>
  <si>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</si>
  <si>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</si>
  <si>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</si>
  <si>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</si>
  <si>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</si>
  <si>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</si>
  <si>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</si>
  <si>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</si>
  <si>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</si>
  <si>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</si>
  <si>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</si>
  <si>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</si>
  <si>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</si>
  <si>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</si>
  <si>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</si>
  <si>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</si>
  <si>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</si>
  <si>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</si>
  <si>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</si>
  <si>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</si>
  <si>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</si>
  <si>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</si>
  <si>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</si>
  <si>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</si>
  <si>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</si>
  <si>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</si>
  <si>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</si>
  <si>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</si>
  <si>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</si>
  <si>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</si>
  <si>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</si>
  <si>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</si>
  <si>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</si>
  <si>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</si>
  <si>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</si>
  <si>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</si>
  <si>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</si>
  <si>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</si>
  <si>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</si>
  <si>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</si>
  <si>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</si>
  <si>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</si>
  <si>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</si>
  <si>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</si>
  <si>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</si>
  <si>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</si>
  <si>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</si>
  <si>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</si>
  <si>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</si>
  <si>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</si>
  <si>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</si>
  <si>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</si>
  <si>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</si>
  <si>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</si>
  <si>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</si>
  <si>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</si>
  <si>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</si>
  <si>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</si>
  <si>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</si>
  <si>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</si>
  <si>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</si>
  <si>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</si>
  <si>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</si>
  <si>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</si>
  <si>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</si>
  <si>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</si>
  <si>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</si>
  <si>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</si>
  <si>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</si>
  <si>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</si>
  <si>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</si>
  <si>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</si>
  <si>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</si>
  <si>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</si>
  <si>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</si>
  <si>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</si>
  <si>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</si>
  <si>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</si>
  <si>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</si>
  <si>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</si>
  <si>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</si>
  <si>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</si>
  <si>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</si>
  <si>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</si>
  <si>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</si>
  <si>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</si>
  <si>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</si>
  <si>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</si>
  <si>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</si>
  <si>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</si>
  <si>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</si>
  <si>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</si>
  <si>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</si>
  <si>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</si>
  <si>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</si>
  <si>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</si>
  <si>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</si>
  <si>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</si>
  <si>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</si>
  <si>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</si>
  <si>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</si>
  <si>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</si>
  <si>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</si>
  <si>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</si>
  <si>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</si>
  <si>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</si>
  <si>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</si>
  <si>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</si>
  <si>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</si>
  <si>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</si>
  <si>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</si>
  <si>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</si>
  <si>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</si>
  <si>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</si>
  <si>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</si>
  <si>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</si>
  <si>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</si>
  <si>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</si>
  <si>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</si>
  <si>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</si>
  <si>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</si>
  <si>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</si>
  <si>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</si>
  <si>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</si>
  <si>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</si>
  <si>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</si>
  <si>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</si>
  <si>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</si>
  <si>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</si>
  <si>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</si>
  <si>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</si>
  <si>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</si>
  <si>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</si>
  <si>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</si>
  <si>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</si>
  <si>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</si>
  <si>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</si>
  <si>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</si>
  <si>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</si>
  <si>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Dresden School District</t>
  </si>
  <si>
    <t>1/15/07</t>
  </si>
  <si>
    <t>12/22/04</t>
  </si>
  <si>
    <t>8/15/03</t>
  </si>
  <si>
    <t>8/15/01</t>
  </si>
  <si>
    <t>1/15/25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</si>
</sst>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u/>
      <sz val="8"/>
      <color theme="10"/>
      <name val="Arial"/>
      <family val="2"/>
    </font>
    <font>
      <u/>
      <sz val="8"/>
      <color theme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49">
    <xf numFmtId="0" fontId="0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80" zoomScaleNormal="80" zoomScalePageLayoutView="125" workbookViewId="0">
      <pane xSplit="5" ySplit="3" topLeftCell="F627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ColWidth="9"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142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400+400+804146.89</f>
        <v>804946.89</v>
      </c>
      <c r="G9" s="18">
        <v>-150</v>
      </c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SUM(I440)</f>
        <v>83819.739999999991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f>-104726.1+10820.23</f>
        <v>-93905.87000000001</v>
      </c>
      <c r="G13" s="18">
        <v>176.34</v>
      </c>
      <c r="H13" s="18">
        <v>84433.65</v>
      </c>
      <c r="I13" s="18">
        <v>-630.53</v>
      </c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7003.37-566.9</f>
        <v>6436.47</v>
      </c>
      <c r="G14" s="18">
        <v>17.25</v>
      </c>
      <c r="H14" s="18">
        <v>-1136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5062.21</v>
      </c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722539.7</v>
      </c>
      <c r="G19" s="41">
        <f>SUM(G9:G18)</f>
        <v>43.59</v>
      </c>
      <c r="H19" s="41">
        <f>SUM(H9:H18)</f>
        <v>83297.649999999994</v>
      </c>
      <c r="I19" s="41">
        <f>SUM(I9:I18)</f>
        <v>-630.53</v>
      </c>
      <c r="J19" s="41">
        <f>SUM(J9:J18)</f>
        <v>83819.739999999991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-103698.77</v>
      </c>
      <c r="G22" s="18">
        <v>-1061.04</v>
      </c>
      <c r="H22" s="18">
        <v>72741.86</v>
      </c>
      <c r="I22" s="18">
        <v>87512.53</v>
      </c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218194.58+28914.84</f>
        <v>247109.41999999998</v>
      </c>
      <c r="G24" s="18">
        <v>1186.76</v>
      </c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3000</v>
      </c>
      <c r="G30" s="18">
        <v>22942.92</v>
      </c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66002.03</v>
      </c>
      <c r="G31" s="18"/>
      <c r="H31" s="18">
        <v>1049.78</v>
      </c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212412.67999999996</v>
      </c>
      <c r="G32" s="41">
        <f>SUM(G22:G31)</f>
        <v>23068.639999999999</v>
      </c>
      <c r="H32" s="41">
        <f>SUM(H22:H31)</f>
        <v>73791.64</v>
      </c>
      <c r="I32" s="41">
        <f>SUM(I22:I31)</f>
        <v>87512.53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-23025.05</v>
      </c>
      <c r="H47" s="18">
        <f>28240.75-18734.74</f>
        <v>9506.0099999999984</v>
      </c>
      <c r="I47" s="18">
        <v>-88143.06</v>
      </c>
      <c r="J47" s="13">
        <f>SUM(I458)</f>
        <v>83819.739999999991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388695.4+121431.62</f>
        <v>510127.02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510127.02</v>
      </c>
      <c r="G50" s="41">
        <f>SUM(G35:G49)</f>
        <v>-23025.05</v>
      </c>
      <c r="H50" s="41">
        <f>SUM(H35:H49)</f>
        <v>9506.0099999999984</v>
      </c>
      <c r="I50" s="41">
        <f>SUM(I35:I49)</f>
        <v>-88143.06</v>
      </c>
      <c r="J50" s="41">
        <f>SUM(J35:J49)</f>
        <v>83819.739999999991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722539.7</v>
      </c>
      <c r="G51" s="41">
        <f>G50+G32</f>
        <v>43.590000000000146</v>
      </c>
      <c r="H51" s="41">
        <f>H50+H32</f>
        <v>83297.649999999994</v>
      </c>
      <c r="I51" s="41">
        <f>I50+I32</f>
        <v>-630.52999999999884</v>
      </c>
      <c r="J51" s="41">
        <f>J50+J32</f>
        <v>83819.739999999991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f>11973841+6398727-F117</f>
        <v>15929901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15929901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>
        <v>134456.82999999999</v>
      </c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f>1135030.09+1722116-95952</f>
        <v>2761194.09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45839.75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623924.36</v>
      </c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3565415.03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2061.09</v>
      </c>
      <c r="G95" s="18"/>
      <c r="H95" s="18"/>
      <c r="I95" s="18"/>
      <c r="J95" s="18">
        <v>1798.2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484746.03+14115.75-11914.97-26825.25-20.43</f>
        <v>460101.13000000006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f>10004.79+145650</f>
        <v>155654.79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34183.199999999997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11892.39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>
        <v>100000</v>
      </c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8779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-89.81</v>
      </c>
      <c r="G109" s="18">
        <v>118.42</v>
      </c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300588.27</v>
      </c>
      <c r="G110" s="41">
        <f>SUM(G95:G109)</f>
        <v>460219.55000000005</v>
      </c>
      <c r="H110" s="41">
        <f>SUM(H95:H109)</f>
        <v>11892.39</v>
      </c>
      <c r="I110" s="41">
        <f>SUM(I95:I109)</f>
        <v>0</v>
      </c>
      <c r="J110" s="41">
        <f>SUM(J95:J109)</f>
        <v>1798.2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19795904.300000001</v>
      </c>
      <c r="G111" s="41">
        <f>G59+G110</f>
        <v>460219.55000000005</v>
      </c>
      <c r="H111" s="41">
        <f>H59+H78+H93+H110</f>
        <v>11892.39</v>
      </c>
      <c r="I111" s="41">
        <f>I59+I110</f>
        <v>0</v>
      </c>
      <c r="J111" s="41">
        <f>J59+J110</f>
        <v>1798.2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/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2442667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2442667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461111.19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15414.61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15827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>
        <v>781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492352.8</v>
      </c>
      <c r="G135" s="41">
        <f>SUM(G122:G134)</f>
        <v>0</v>
      </c>
      <c r="H135" s="41">
        <f>SUM(H122:H134)</f>
        <v>781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2935019.8</v>
      </c>
      <c r="G139" s="41">
        <f>G120+SUM(G135:G136)</f>
        <v>0</v>
      </c>
      <c r="H139" s="41">
        <f>H120+SUM(H135:H138)</f>
        <v>781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/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34518.980000000003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969.45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210735.18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0</v>
      </c>
      <c r="G161" s="41">
        <f>SUM(G149:G160)</f>
        <v>969.45</v>
      </c>
      <c r="H161" s="41">
        <f>SUM(H149:H160)</f>
        <v>245254.16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2623.89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2623.89</v>
      </c>
      <c r="G168" s="41">
        <f>G146+G161+SUM(G162:G167)</f>
        <v>969.45</v>
      </c>
      <c r="H168" s="41">
        <f>H146+H161+SUM(H162:H167)</f>
        <v>245254.16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f>26825.25+11914.97</f>
        <v>38740.22</v>
      </c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38740.22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38740.22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22733547.990000002</v>
      </c>
      <c r="G192" s="47">
        <f>G111+G139+G168+G191</f>
        <v>499929.22000000009</v>
      </c>
      <c r="H192" s="47">
        <f>H111+H139+H168+H191</f>
        <v>257927.55</v>
      </c>
      <c r="I192" s="47">
        <f>I111+I139+I168+I191</f>
        <v>0</v>
      </c>
      <c r="J192" s="47">
        <f>J111+J139+J191</f>
        <v>1798.2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2234993.86</v>
      </c>
      <c r="G196" s="18">
        <v>697504.37</v>
      </c>
      <c r="H196" s="18">
        <v>37065.19</v>
      </c>
      <c r="I196" s="18">
        <v>77567.240000000005</v>
      </c>
      <c r="J196" s="18">
        <v>118992.6</v>
      </c>
      <c r="K196" s="18">
        <v>662.99</v>
      </c>
      <c r="L196" s="19">
        <f>SUM(F196:K196)</f>
        <v>3166786.2500000005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700984.95</v>
      </c>
      <c r="G197" s="18">
        <v>421489.8</v>
      </c>
      <c r="H197" s="18">
        <v>48680.25</v>
      </c>
      <c r="I197" s="18">
        <v>3503.26</v>
      </c>
      <c r="J197" s="18">
        <v>2876.13</v>
      </c>
      <c r="K197" s="18">
        <v>0</v>
      </c>
      <c r="L197" s="19">
        <f>SUM(F197:K197)</f>
        <v>1177534.3899999999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14360</v>
      </c>
      <c r="G199" s="18">
        <v>1557.72</v>
      </c>
      <c r="H199" s="18">
        <v>5665.06</v>
      </c>
      <c r="I199" s="18">
        <v>0</v>
      </c>
      <c r="J199" s="18">
        <v>0</v>
      </c>
      <c r="K199" s="18">
        <v>0</v>
      </c>
      <c r="L199" s="19">
        <f>SUM(F199:K199)</f>
        <v>21582.78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184574.96</v>
      </c>
      <c r="G201" s="18">
        <v>80966.649999999994</v>
      </c>
      <c r="H201" s="18">
        <v>852.8</v>
      </c>
      <c r="I201" s="18">
        <v>2497.37</v>
      </c>
      <c r="J201" s="18">
        <v>0</v>
      </c>
      <c r="K201" s="18">
        <v>100</v>
      </c>
      <c r="L201" s="19">
        <f t="shared" ref="L201:L207" si="0">SUM(F201:K201)</f>
        <v>268991.77999999997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84795.93</v>
      </c>
      <c r="G202" s="18">
        <v>98694.01</v>
      </c>
      <c r="H202" s="18">
        <v>5239.7</v>
      </c>
      <c r="I202" s="18">
        <v>22633.3</v>
      </c>
      <c r="J202" s="18">
        <v>9592.8700000000008</v>
      </c>
      <c r="K202" s="18">
        <v>0</v>
      </c>
      <c r="L202" s="19">
        <f t="shared" si="0"/>
        <v>220955.81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4432.6400000000003</v>
      </c>
      <c r="G203" s="18">
        <v>339.11</v>
      </c>
      <c r="H203" s="18">
        <v>280087.82</v>
      </c>
      <c r="I203" s="18">
        <v>0</v>
      </c>
      <c r="J203" s="18">
        <v>0</v>
      </c>
      <c r="K203" s="18">
        <v>2293.87</v>
      </c>
      <c r="L203" s="19">
        <f t="shared" si="0"/>
        <v>287153.44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274286.44</v>
      </c>
      <c r="G204" s="18">
        <v>336806.83</v>
      </c>
      <c r="H204" s="18">
        <v>20213.96</v>
      </c>
      <c r="I204" s="18">
        <v>2927.98</v>
      </c>
      <c r="J204" s="18">
        <v>0</v>
      </c>
      <c r="K204" s="18">
        <v>800</v>
      </c>
      <c r="L204" s="19">
        <f t="shared" si="0"/>
        <v>635035.21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0</v>
      </c>
      <c r="G205" s="18">
        <v>0</v>
      </c>
      <c r="H205" s="18">
        <v>0</v>
      </c>
      <c r="I205" s="18">
        <v>0</v>
      </c>
      <c r="J205" s="18">
        <v>0</v>
      </c>
      <c r="K205" s="18">
        <v>0</v>
      </c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306805.83</v>
      </c>
      <c r="G206" s="18">
        <v>132304.9</v>
      </c>
      <c r="H206" s="18">
        <v>115422.8</v>
      </c>
      <c r="I206" s="18">
        <v>92184.19</v>
      </c>
      <c r="J206" s="18">
        <v>14169.18</v>
      </c>
      <c r="K206" s="18">
        <v>-12985.89</v>
      </c>
      <c r="L206" s="19">
        <f t="shared" si="0"/>
        <v>647901.01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>
        <v>0</v>
      </c>
      <c r="G207" s="18">
        <v>0</v>
      </c>
      <c r="H207" s="18">
        <v>10022.629999999999</v>
      </c>
      <c r="I207" s="18">
        <v>0</v>
      </c>
      <c r="J207" s="18">
        <v>0</v>
      </c>
      <c r="K207" s="18">
        <v>0</v>
      </c>
      <c r="L207" s="19">
        <f t="shared" si="0"/>
        <v>10022.629999999999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3805234.61</v>
      </c>
      <c r="G210" s="41">
        <f t="shared" si="1"/>
        <v>1769663.39</v>
      </c>
      <c r="H210" s="41">
        <f t="shared" si="1"/>
        <v>523250.21</v>
      </c>
      <c r="I210" s="41">
        <f t="shared" si="1"/>
        <v>201313.34</v>
      </c>
      <c r="J210" s="41">
        <f t="shared" si="1"/>
        <v>145630.78</v>
      </c>
      <c r="K210" s="41">
        <f t="shared" si="1"/>
        <v>-9129.0299999999988</v>
      </c>
      <c r="L210" s="41">
        <f t="shared" si="1"/>
        <v>6435963.3000000007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4284510.08</v>
      </c>
      <c r="G232" s="18">
        <v>1433326.36</v>
      </c>
      <c r="H232" s="18">
        <v>44902.85</v>
      </c>
      <c r="I232" s="18">
        <v>120958.28</v>
      </c>
      <c r="J232" s="18">
        <v>40363.519999999997</v>
      </c>
      <c r="K232" s="18">
        <v>9669.25</v>
      </c>
      <c r="L232" s="19">
        <f>SUM(F232:K232)</f>
        <v>5933730.3399999999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870051.35</v>
      </c>
      <c r="G233" s="18">
        <v>401851.74</v>
      </c>
      <c r="H233" s="18">
        <v>75605.919999999998</v>
      </c>
      <c r="I233" s="18">
        <v>13440.02</v>
      </c>
      <c r="J233" s="18">
        <v>789</v>
      </c>
      <c r="K233" s="18">
        <v>0</v>
      </c>
      <c r="L233" s="19">
        <f>SUM(F233:K233)</f>
        <v>1361738.0299999998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0</v>
      </c>
      <c r="G234" s="18">
        <v>0</v>
      </c>
      <c r="H234" s="18">
        <v>33898.519999999997</v>
      </c>
      <c r="I234" s="18">
        <v>0</v>
      </c>
      <c r="J234" s="18">
        <v>0</v>
      </c>
      <c r="K234" s="18">
        <v>0</v>
      </c>
      <c r="L234" s="19">
        <f>SUM(F234:K234)</f>
        <v>33898.519999999997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382476.3</v>
      </c>
      <c r="G235" s="18">
        <v>101261.9</v>
      </c>
      <c r="H235" s="18">
        <v>169169.76</v>
      </c>
      <c r="I235" s="18">
        <v>10542.92</v>
      </c>
      <c r="J235" s="18">
        <v>29346.48</v>
      </c>
      <c r="K235" s="18">
        <v>3875</v>
      </c>
      <c r="L235" s="19">
        <f>SUM(F235:K235)</f>
        <v>696672.36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v>600465.57999999996</v>
      </c>
      <c r="G237" s="18">
        <v>244200.43</v>
      </c>
      <c r="H237" s="18">
        <v>5723.78</v>
      </c>
      <c r="I237" s="18">
        <v>9693.2999999999993</v>
      </c>
      <c r="J237" s="18">
        <v>399</v>
      </c>
      <c r="K237" s="18">
        <v>225</v>
      </c>
      <c r="L237" s="19">
        <f t="shared" ref="L237:L243" si="4">SUM(F237:K237)</f>
        <v>860707.09000000008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v>137658.63</v>
      </c>
      <c r="G238" s="18">
        <v>132171.26999999999</v>
      </c>
      <c r="H238" s="18">
        <v>10430.44</v>
      </c>
      <c r="I238" s="18">
        <v>52095.6</v>
      </c>
      <c r="J238" s="18">
        <v>136525.69</v>
      </c>
      <c r="K238" s="18">
        <v>716</v>
      </c>
      <c r="L238" s="19">
        <f t="shared" si="4"/>
        <v>469597.63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v>8197.0300000000007</v>
      </c>
      <c r="G239" s="18">
        <v>627.1</v>
      </c>
      <c r="H239" s="18">
        <v>517951.34</v>
      </c>
      <c r="I239" s="18">
        <v>0</v>
      </c>
      <c r="J239" s="18">
        <v>0</v>
      </c>
      <c r="K239" s="18">
        <v>4241.9399999999996</v>
      </c>
      <c r="L239" s="19">
        <f t="shared" si="4"/>
        <v>531017.40999999992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604433.57999999996</v>
      </c>
      <c r="G240" s="18">
        <v>583345.37</v>
      </c>
      <c r="H240" s="18">
        <v>74599.039999999994</v>
      </c>
      <c r="I240" s="18">
        <v>18891.47</v>
      </c>
      <c r="J240" s="18">
        <v>0</v>
      </c>
      <c r="K240" s="18">
        <v>4928</v>
      </c>
      <c r="L240" s="19">
        <f t="shared" si="4"/>
        <v>1286197.46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557281.57999999996</v>
      </c>
      <c r="G242" s="18">
        <v>225347.83</v>
      </c>
      <c r="H242" s="18">
        <v>222688.96</v>
      </c>
      <c r="I242" s="18">
        <v>209994.49</v>
      </c>
      <c r="J242" s="18">
        <v>16517.3</v>
      </c>
      <c r="K242" s="18">
        <v>-24014.11</v>
      </c>
      <c r="L242" s="19">
        <f t="shared" si="4"/>
        <v>1207816.0499999998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>
        <v>0</v>
      </c>
      <c r="G243" s="18">
        <v>0</v>
      </c>
      <c r="H243" s="18">
        <v>163378.35999999999</v>
      </c>
      <c r="I243" s="18">
        <v>0</v>
      </c>
      <c r="J243" s="18">
        <v>0</v>
      </c>
      <c r="K243" s="18">
        <v>0</v>
      </c>
      <c r="L243" s="19">
        <f t="shared" si="4"/>
        <v>163378.35999999999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>
        <v>0</v>
      </c>
      <c r="G244" s="18">
        <v>0</v>
      </c>
      <c r="H244" s="18">
        <v>0</v>
      </c>
      <c r="I244" s="18">
        <v>0</v>
      </c>
      <c r="J244" s="18">
        <v>0</v>
      </c>
      <c r="K244" s="18">
        <v>0</v>
      </c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7445074.1299999999</v>
      </c>
      <c r="G246" s="41">
        <f t="shared" si="5"/>
        <v>3122132.0000000005</v>
      </c>
      <c r="H246" s="41">
        <f t="shared" si="5"/>
        <v>1318348.9700000002</v>
      </c>
      <c r="I246" s="41">
        <f t="shared" si="5"/>
        <v>435616.07999999996</v>
      </c>
      <c r="J246" s="41">
        <f t="shared" si="5"/>
        <v>223940.99</v>
      </c>
      <c r="K246" s="41">
        <f t="shared" si="5"/>
        <v>-358.92000000000189</v>
      </c>
      <c r="L246" s="41">
        <f t="shared" si="5"/>
        <v>12544753.25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113735.32</v>
      </c>
      <c r="I254" s="18"/>
      <c r="J254" s="18"/>
      <c r="K254" s="18"/>
      <c r="L254" s="19">
        <f t="shared" si="6"/>
        <v>113735.32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113735.32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113735.32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11250308.74</v>
      </c>
      <c r="G256" s="41">
        <f t="shared" si="8"/>
        <v>4891795.3900000006</v>
      </c>
      <c r="H256" s="41">
        <f t="shared" si="8"/>
        <v>1955334.5000000002</v>
      </c>
      <c r="I256" s="41">
        <f t="shared" si="8"/>
        <v>636929.41999999993</v>
      </c>
      <c r="J256" s="41">
        <f t="shared" si="8"/>
        <v>369571.77</v>
      </c>
      <c r="K256" s="41">
        <f t="shared" si="8"/>
        <v>-9487.9500000000007</v>
      </c>
      <c r="L256" s="41">
        <f t="shared" si="8"/>
        <v>19094451.870000001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2354210.98</v>
      </c>
      <c r="L259" s="19">
        <f>SUM(F259:K259)</f>
        <v>2354210.98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1124713.3</v>
      </c>
      <c r="L260" s="19">
        <f>SUM(F260:K260)</f>
        <v>1124713.3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38740.22</v>
      </c>
      <c r="L262" s="19">
        <f>SUM(F262:K262)</f>
        <v>38740.22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3517664.5000000005</v>
      </c>
      <c r="L269" s="41">
        <f t="shared" si="9"/>
        <v>3517664.5000000005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11250308.74</v>
      </c>
      <c r="G270" s="42">
        <f t="shared" si="11"/>
        <v>4891795.3900000006</v>
      </c>
      <c r="H270" s="42">
        <f t="shared" si="11"/>
        <v>1955334.5000000002</v>
      </c>
      <c r="I270" s="42">
        <f t="shared" si="11"/>
        <v>636929.41999999993</v>
      </c>
      <c r="J270" s="42">
        <f t="shared" si="11"/>
        <v>369571.77</v>
      </c>
      <c r="K270" s="42">
        <f t="shared" si="11"/>
        <v>3508176.5500000003</v>
      </c>
      <c r="L270" s="42">
        <f t="shared" si="11"/>
        <v>22612116.370000001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0</v>
      </c>
      <c r="G275" s="18">
        <v>4901</v>
      </c>
      <c r="H275" s="18">
        <v>394.94</v>
      </c>
      <c r="I275" s="18">
        <v>0</v>
      </c>
      <c r="J275" s="18">
        <v>0</v>
      </c>
      <c r="K275" s="18">
        <v>0</v>
      </c>
      <c r="L275" s="19">
        <f>SUM(F275:K275)</f>
        <v>5295.94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108610.62</v>
      </c>
      <c r="G276" s="18">
        <v>0</v>
      </c>
      <c r="H276" s="18">
        <v>3137.5</v>
      </c>
      <c r="I276" s="18">
        <v>1976</v>
      </c>
      <c r="J276" s="18">
        <v>15762.45</v>
      </c>
      <c r="K276" s="18">
        <v>0</v>
      </c>
      <c r="L276" s="19">
        <f>SUM(F276:K276)</f>
        <v>129486.56999999999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108610.62</v>
      </c>
      <c r="G289" s="42">
        <f t="shared" si="13"/>
        <v>4901</v>
      </c>
      <c r="H289" s="42">
        <f t="shared" si="13"/>
        <v>3532.44</v>
      </c>
      <c r="I289" s="42">
        <f t="shared" si="13"/>
        <v>1976</v>
      </c>
      <c r="J289" s="42">
        <f t="shared" si="13"/>
        <v>15762.45</v>
      </c>
      <c r="K289" s="42">
        <f t="shared" si="13"/>
        <v>0</v>
      </c>
      <c r="L289" s="41">
        <f t="shared" si="13"/>
        <v>134782.50999999998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0</v>
      </c>
      <c r="G313" s="18">
        <v>0</v>
      </c>
      <c r="H313" s="18">
        <v>781</v>
      </c>
      <c r="I313" s="18">
        <v>0</v>
      </c>
      <c r="J313" s="18">
        <v>0</v>
      </c>
      <c r="K313" s="18">
        <v>0</v>
      </c>
      <c r="L313" s="19">
        <f>SUM(F313:K313)</f>
        <v>781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99272.2</v>
      </c>
      <c r="G314" s="18">
        <v>0</v>
      </c>
      <c r="H314" s="18">
        <v>0</v>
      </c>
      <c r="I314" s="18">
        <v>0</v>
      </c>
      <c r="J314" s="18">
        <v>11199.45</v>
      </c>
      <c r="K314" s="18">
        <v>0</v>
      </c>
      <c r="L314" s="19">
        <f>SUM(F314:K314)</f>
        <v>110471.65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>
        <v>13693.67</v>
      </c>
      <c r="G316" s="18">
        <v>0</v>
      </c>
      <c r="H316" s="18">
        <v>16858.46</v>
      </c>
      <c r="I316" s="18">
        <v>30</v>
      </c>
      <c r="J316" s="18">
        <v>0</v>
      </c>
      <c r="K316" s="18">
        <v>45</v>
      </c>
      <c r="L316" s="19">
        <f>SUM(F316:K316)</f>
        <v>30627.129999999997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112965.87</v>
      </c>
      <c r="G327" s="42">
        <f t="shared" si="17"/>
        <v>0</v>
      </c>
      <c r="H327" s="42">
        <f t="shared" si="17"/>
        <v>17639.46</v>
      </c>
      <c r="I327" s="42">
        <f t="shared" si="17"/>
        <v>30</v>
      </c>
      <c r="J327" s="42">
        <f t="shared" si="17"/>
        <v>11199.45</v>
      </c>
      <c r="K327" s="42">
        <f t="shared" si="17"/>
        <v>45</v>
      </c>
      <c r="L327" s="41">
        <f t="shared" si="17"/>
        <v>141879.78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221576.49</v>
      </c>
      <c r="G337" s="41">
        <f t="shared" si="20"/>
        <v>4901</v>
      </c>
      <c r="H337" s="41">
        <f t="shared" si="20"/>
        <v>21171.899999999998</v>
      </c>
      <c r="I337" s="41">
        <f t="shared" si="20"/>
        <v>2006</v>
      </c>
      <c r="J337" s="41">
        <f t="shared" si="20"/>
        <v>26961.9</v>
      </c>
      <c r="K337" s="41">
        <f t="shared" si="20"/>
        <v>45</v>
      </c>
      <c r="L337" s="41">
        <f t="shared" si="20"/>
        <v>276662.28999999998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221576.49</v>
      </c>
      <c r="G351" s="41">
        <f>G337</f>
        <v>4901</v>
      </c>
      <c r="H351" s="41">
        <f>H337</f>
        <v>21171.899999999998</v>
      </c>
      <c r="I351" s="41">
        <f>I337</f>
        <v>2006</v>
      </c>
      <c r="J351" s="41">
        <f>J337</f>
        <v>26961.9</v>
      </c>
      <c r="K351" s="47">
        <f>K337+K350</f>
        <v>45</v>
      </c>
      <c r="L351" s="41">
        <f>L337+L350</f>
        <v>276662.28999999998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82153.05</v>
      </c>
      <c r="G357" s="18">
        <v>34436.01</v>
      </c>
      <c r="H357" s="18">
        <v>0</v>
      </c>
      <c r="I357" s="18">
        <v>154092.14000000001</v>
      </c>
      <c r="J357" s="18">
        <v>565.79</v>
      </c>
      <c r="K357" s="18">
        <v>0</v>
      </c>
      <c r="L357" s="13">
        <f>SUM(F357:K357)</f>
        <v>271246.99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0</v>
      </c>
      <c r="G359" s="18">
        <v>0</v>
      </c>
      <c r="H359" s="18">
        <v>270085</v>
      </c>
      <c r="I359" s="18">
        <v>0</v>
      </c>
      <c r="J359" s="18">
        <v>631.12</v>
      </c>
      <c r="K359" s="18">
        <v>0</v>
      </c>
      <c r="L359" s="19">
        <f>SUM(F359:K359)</f>
        <v>270716.12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82153.05</v>
      </c>
      <c r="G361" s="47">
        <f t="shared" si="22"/>
        <v>34436.01</v>
      </c>
      <c r="H361" s="47">
        <f t="shared" si="22"/>
        <v>270085</v>
      </c>
      <c r="I361" s="47">
        <f t="shared" si="22"/>
        <v>154092.14000000001</v>
      </c>
      <c r="J361" s="47">
        <f t="shared" si="22"/>
        <v>1196.9099999999999</v>
      </c>
      <c r="K361" s="47">
        <f t="shared" si="22"/>
        <v>0</v>
      </c>
      <c r="L361" s="47">
        <f t="shared" si="22"/>
        <v>541963.11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144917.45000000001</v>
      </c>
      <c r="G366" s="18"/>
      <c r="H366" s="18"/>
      <c r="I366" s="56">
        <f>SUM(F366:H366)</f>
        <v>144917.45000000001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9174.69</v>
      </c>
      <c r="G367" s="63"/>
      <c r="H367" s="63"/>
      <c r="I367" s="56">
        <f>SUM(F367:H367)</f>
        <v>9174.69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154092.14000000001</v>
      </c>
      <c r="G368" s="47">
        <f>SUM(G366:G367)</f>
        <v>0</v>
      </c>
      <c r="H368" s="47">
        <f>SUM(H366:H367)</f>
        <v>0</v>
      </c>
      <c r="I368" s="47">
        <f>SUM(I366:I367)</f>
        <v>154092.14000000001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>
        <v>1798.2</v>
      </c>
      <c r="I391" s="18"/>
      <c r="J391" s="24" t="s">
        <v>289</v>
      </c>
      <c r="K391" s="24" t="s">
        <v>289</v>
      </c>
      <c r="L391" s="56">
        <f t="shared" si="25"/>
        <v>1798.2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1798.2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1798.2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1798.2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1798.2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>
        <v>820.18</v>
      </c>
      <c r="J425" s="18"/>
      <c r="K425" s="18"/>
      <c r="L425" s="56">
        <f t="shared" si="29"/>
        <v>820.18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820.18</v>
      </c>
      <c r="J426" s="47">
        <f t="shared" si="30"/>
        <v>0</v>
      </c>
      <c r="K426" s="47">
        <f t="shared" si="30"/>
        <v>0</v>
      </c>
      <c r="L426" s="47">
        <f t="shared" si="30"/>
        <v>820.18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820.18</v>
      </c>
      <c r="J433" s="47">
        <f t="shared" si="32"/>
        <v>0</v>
      </c>
      <c r="K433" s="47">
        <f t="shared" si="32"/>
        <v>0</v>
      </c>
      <c r="L433" s="47">
        <f t="shared" si="32"/>
        <v>820.18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56125.57</v>
      </c>
      <c r="G440" s="18"/>
      <c r="H440" s="18">
        <v>27694.17</v>
      </c>
      <c r="I440" s="56">
        <f t="shared" si="33"/>
        <v>83819.739999999991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56125.57</v>
      </c>
      <c r="G445" s="13">
        <f>SUM(G438:G444)</f>
        <v>0</v>
      </c>
      <c r="H445" s="13">
        <f>SUM(H438:H444)</f>
        <v>27694.17</v>
      </c>
      <c r="I445" s="13">
        <f>SUM(I438:I444)</f>
        <v>83819.739999999991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56125.57</v>
      </c>
      <c r="G458" s="18"/>
      <c r="H458" s="18">
        <v>27694.17</v>
      </c>
      <c r="I458" s="56">
        <f t="shared" si="34"/>
        <v>83819.739999999991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56125.57</v>
      </c>
      <c r="G459" s="83">
        <f>SUM(G453:G458)</f>
        <v>0</v>
      </c>
      <c r="H459" s="83">
        <f>SUM(H453:H458)</f>
        <v>27694.17</v>
      </c>
      <c r="I459" s="83">
        <f>SUM(I453:I458)</f>
        <v>83819.739999999991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56125.57</v>
      </c>
      <c r="G460" s="42">
        <f>G451+G459</f>
        <v>0</v>
      </c>
      <c r="H460" s="42">
        <f>H451+H459</f>
        <v>27694.17</v>
      </c>
      <c r="I460" s="42">
        <f>I451+I459</f>
        <v>83819.739999999991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388695.4</v>
      </c>
      <c r="G464" s="18">
        <v>19008.84</v>
      </c>
      <c r="H464" s="18">
        <v>28240.75</v>
      </c>
      <c r="I464" s="18">
        <v>-88143.06</v>
      </c>
      <c r="J464" s="18">
        <v>82841.72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22733547.989999998</v>
      </c>
      <c r="G467" s="18">
        <v>499929.22</v>
      </c>
      <c r="H467" s="18">
        <v>257927.55</v>
      </c>
      <c r="I467" s="18"/>
      <c r="J467" s="18">
        <v>1798.2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22733547.989999998</v>
      </c>
      <c r="G469" s="53">
        <f>SUM(G467:G468)</f>
        <v>499929.22</v>
      </c>
      <c r="H469" s="53">
        <f>SUM(H467:H468)</f>
        <v>257927.55</v>
      </c>
      <c r="I469" s="53">
        <f>SUM(I467:I468)</f>
        <v>0</v>
      </c>
      <c r="J469" s="53">
        <f>SUM(J467:J468)</f>
        <v>1798.2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22612116.370000001</v>
      </c>
      <c r="G471" s="18">
        <v>541963.11</v>
      </c>
      <c r="H471" s="18">
        <v>276662.28999999998</v>
      </c>
      <c r="I471" s="18"/>
      <c r="J471" s="18">
        <v>820.18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22612116.370000001</v>
      </c>
      <c r="G473" s="53">
        <f>SUM(G471:G472)</f>
        <v>541963.11</v>
      </c>
      <c r="H473" s="53">
        <f>SUM(H471:H472)</f>
        <v>276662.28999999998</v>
      </c>
      <c r="I473" s="53">
        <f>SUM(I471:I472)</f>
        <v>0</v>
      </c>
      <c r="J473" s="53">
        <f>SUM(J471:J472)</f>
        <v>820.18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510127.01999999583</v>
      </c>
      <c r="G475" s="53">
        <f>(G464+G469)- G473</f>
        <v>-23025.049999999988</v>
      </c>
      <c r="H475" s="53">
        <f>(H464+H469)- H473</f>
        <v>9506.0100000000093</v>
      </c>
      <c r="I475" s="53">
        <f>(I464+I469)- I473</f>
        <v>-88143.06</v>
      </c>
      <c r="J475" s="53">
        <f>(J464+J469)- J473</f>
        <v>83819.740000000005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>
        <v>20</v>
      </c>
      <c r="G489" s="154">
        <v>20</v>
      </c>
      <c r="H489" s="154">
        <v>20</v>
      </c>
      <c r="I489" s="154">
        <v>20</v>
      </c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910</v>
      </c>
      <c r="G490" s="155" t="s">
        <v>911</v>
      </c>
      <c r="H490" s="155" t="s">
        <v>912</v>
      </c>
      <c r="I490" s="155" t="s">
        <v>913</v>
      </c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910</v>
      </c>
      <c r="G491" s="155" t="s">
        <v>914</v>
      </c>
      <c r="H491" s="155" t="s">
        <v>912</v>
      </c>
      <c r="I491" s="155" t="s">
        <v>913</v>
      </c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>
        <v>2532900</v>
      </c>
      <c r="G492" s="18">
        <v>4000000</v>
      </c>
      <c r="H492" s="18">
        <v>38460936</v>
      </c>
      <c r="I492" s="18">
        <v>1100000</v>
      </c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>
        <v>4.08</v>
      </c>
      <c r="G493" s="18">
        <v>4.47</v>
      </c>
      <c r="H493" s="18">
        <v>4.62</v>
      </c>
      <c r="I493" s="18">
        <v>4.71</v>
      </c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1684362</v>
      </c>
      <c r="G494" s="18">
        <v>2184150</v>
      </c>
      <c r="H494" s="18">
        <v>18112893</v>
      </c>
      <c r="I494" s="18">
        <v>550000</v>
      </c>
      <c r="J494" s="18"/>
      <c r="K494" s="53">
        <f>SUM(F494:J494)</f>
        <v>22531405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>
        <v>0</v>
      </c>
      <c r="G495" s="18">
        <v>0</v>
      </c>
      <c r="H495" s="18">
        <v>0</v>
      </c>
      <c r="I495" s="18">
        <v>0</v>
      </c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>
        <v>149091</v>
      </c>
      <c r="G496" s="18">
        <v>217357</v>
      </c>
      <c r="H496" s="18">
        <v>1932763</v>
      </c>
      <c r="I496" s="18">
        <v>55000</v>
      </c>
      <c r="J496" s="18"/>
      <c r="K496" s="53">
        <f t="shared" si="35"/>
        <v>2354211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>
        <f>F494-F496</f>
        <v>1535271</v>
      </c>
      <c r="G497" s="204">
        <f>G494-G496</f>
        <v>1966793</v>
      </c>
      <c r="H497" s="204">
        <f t="shared" ref="H497:I497" si="36">H494-H496</f>
        <v>16180130</v>
      </c>
      <c r="I497" s="204">
        <f t="shared" si="36"/>
        <v>495000</v>
      </c>
      <c r="J497" s="204"/>
      <c r="K497" s="205">
        <f t="shared" si="35"/>
        <v>20177194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1155198</v>
      </c>
      <c r="G498" s="18">
        <v>1720045</v>
      </c>
      <c r="H498" s="18">
        <v>15914071</v>
      </c>
      <c r="I498" s="18">
        <v>109979</v>
      </c>
      <c r="J498" s="18"/>
      <c r="K498" s="53">
        <f t="shared" si="35"/>
        <v>18899293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2690469</v>
      </c>
      <c r="G499" s="42">
        <f>SUM(G497:G498)</f>
        <v>3686838</v>
      </c>
      <c r="H499" s="42">
        <f>SUM(H497:H498)</f>
        <v>32094201</v>
      </c>
      <c r="I499" s="42">
        <f>SUM(I497:I498)</f>
        <v>604979</v>
      </c>
      <c r="J499" s="42">
        <f>SUM(J497:J498)</f>
        <v>0</v>
      </c>
      <c r="K499" s="42">
        <f t="shared" si="35"/>
        <v>39076487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>
        <v>142841</v>
      </c>
      <c r="G500" s="204">
        <v>205715</v>
      </c>
      <c r="H500" s="204">
        <v>1843965</v>
      </c>
      <c r="I500" s="204">
        <v>55000</v>
      </c>
      <c r="J500" s="204"/>
      <c r="K500" s="205">
        <f t="shared" si="35"/>
        <v>2247521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49166</v>
      </c>
      <c r="G501" s="18">
        <v>99454</v>
      </c>
      <c r="H501" s="18">
        <v>1053853</v>
      </c>
      <c r="I501" s="18">
        <v>22756</v>
      </c>
      <c r="J501" s="18"/>
      <c r="K501" s="53">
        <f t="shared" si="35"/>
        <v>1225229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192007</v>
      </c>
      <c r="G502" s="42">
        <f>SUM(G500:G501)</f>
        <v>305169</v>
      </c>
      <c r="H502" s="42">
        <f>SUM(H500:H501)</f>
        <v>2897818</v>
      </c>
      <c r="I502" s="42">
        <f>SUM(I500:I501)</f>
        <v>77756</v>
      </c>
      <c r="J502" s="42">
        <f>SUM(J500:J501)</f>
        <v>0</v>
      </c>
      <c r="K502" s="42">
        <f t="shared" si="35"/>
        <v>3472750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F197+F276-F525</f>
        <v>745234.07</v>
      </c>
      <c r="G520" s="18">
        <f t="shared" ref="G520:K520" si="37">G197+G276</f>
        <v>421489.8</v>
      </c>
      <c r="H520" s="18">
        <f t="shared" si="37"/>
        <v>51817.75</v>
      </c>
      <c r="I520" s="18">
        <f t="shared" si="37"/>
        <v>5479.26</v>
      </c>
      <c r="J520" s="18">
        <f t="shared" si="37"/>
        <v>18638.580000000002</v>
      </c>
      <c r="K520" s="18">
        <f t="shared" si="37"/>
        <v>0</v>
      </c>
      <c r="L520" s="88">
        <f>SUM(F520:K520)</f>
        <v>1242659.46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f>F233+F314-F527</f>
        <v>902232.60999999987</v>
      </c>
      <c r="G522" s="18">
        <f t="shared" ref="G522:K522" si="38">G233+G314</f>
        <v>401851.74</v>
      </c>
      <c r="H522" s="18">
        <f t="shared" si="38"/>
        <v>75605.919999999998</v>
      </c>
      <c r="I522" s="18">
        <f t="shared" si="38"/>
        <v>13440.02</v>
      </c>
      <c r="J522" s="18">
        <f t="shared" si="38"/>
        <v>11988.45</v>
      </c>
      <c r="K522" s="18">
        <f t="shared" si="38"/>
        <v>0</v>
      </c>
      <c r="L522" s="88">
        <f>SUM(F522:K522)</f>
        <v>1405118.7399999998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1647466.6799999997</v>
      </c>
      <c r="G523" s="108">
        <f t="shared" ref="G523:L523" si="39">SUM(G520:G522)</f>
        <v>823341.54</v>
      </c>
      <c r="H523" s="108">
        <f t="shared" si="39"/>
        <v>127423.67</v>
      </c>
      <c r="I523" s="108">
        <f t="shared" si="39"/>
        <v>18919.28</v>
      </c>
      <c r="J523" s="108">
        <f t="shared" si="39"/>
        <v>30627.030000000002</v>
      </c>
      <c r="K523" s="108">
        <f t="shared" si="39"/>
        <v>0</v>
      </c>
      <c r="L523" s="89">
        <f t="shared" si="39"/>
        <v>2647778.1999999997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f>15681.25+1450+6233.75+29783.25+627.75+5497.5+795+260+323+3710</f>
        <v>64361.5</v>
      </c>
      <c r="G525" s="18"/>
      <c r="H525" s="18"/>
      <c r="I525" s="18"/>
      <c r="J525" s="18"/>
      <c r="K525" s="18"/>
      <c r="L525" s="88">
        <f>SUM(F525:K525)</f>
        <v>64361.5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f>13425+862.5+4766.25+813.75+15988.5+5953+1285+1827.56+4207.5+11400+3520+3041.88</f>
        <v>67090.94</v>
      </c>
      <c r="G527" s="18"/>
      <c r="H527" s="18"/>
      <c r="I527" s="18"/>
      <c r="J527" s="18"/>
      <c r="K527" s="18"/>
      <c r="L527" s="88">
        <f>SUM(F527:K527)</f>
        <v>67090.94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131452.44</v>
      </c>
      <c r="G528" s="89">
        <f t="shared" ref="G528:L528" si="40">SUM(G525:G527)</f>
        <v>0</v>
      </c>
      <c r="H528" s="89">
        <f t="shared" si="40"/>
        <v>0</v>
      </c>
      <c r="I528" s="89">
        <f t="shared" si="40"/>
        <v>0</v>
      </c>
      <c r="J528" s="89">
        <f t="shared" si="40"/>
        <v>0</v>
      </c>
      <c r="K528" s="89">
        <f t="shared" si="40"/>
        <v>0</v>
      </c>
      <c r="L528" s="89">
        <f t="shared" si="40"/>
        <v>131452.44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31536</v>
      </c>
      <c r="G530" s="18">
        <v>12905</v>
      </c>
      <c r="H530" s="18">
        <v>1006</v>
      </c>
      <c r="I530" s="18"/>
      <c r="J530" s="18"/>
      <c r="K530" s="18"/>
      <c r="L530" s="88">
        <f>SUM(F530:K530)</f>
        <v>45447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>
        <v>23865</v>
      </c>
      <c r="H531" s="18">
        <v>1859</v>
      </c>
      <c r="I531" s="18"/>
      <c r="J531" s="18"/>
      <c r="K531" s="18"/>
      <c r="L531" s="88">
        <f>SUM(F531:K531)</f>
        <v>25724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58318</v>
      </c>
      <c r="G532" s="18"/>
      <c r="H532" s="18"/>
      <c r="I532" s="18"/>
      <c r="J532" s="18"/>
      <c r="K532" s="18"/>
      <c r="L532" s="88">
        <f>SUM(F532:K532)</f>
        <v>58318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89854</v>
      </c>
      <c r="G533" s="89">
        <f t="shared" ref="G533:L533" si="41">SUM(G530:G532)</f>
        <v>36770</v>
      </c>
      <c r="H533" s="89">
        <f t="shared" si="41"/>
        <v>2865</v>
      </c>
      <c r="I533" s="89">
        <f t="shared" si="41"/>
        <v>0</v>
      </c>
      <c r="J533" s="89">
        <f t="shared" si="41"/>
        <v>0</v>
      </c>
      <c r="K533" s="89">
        <f t="shared" si="41"/>
        <v>0</v>
      </c>
      <c r="L533" s="89">
        <f t="shared" si="41"/>
        <v>129489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f>1454.18/3</f>
        <v>484.72666666666669</v>
      </c>
      <c r="I535" s="18"/>
      <c r="J535" s="18"/>
      <c r="K535" s="18"/>
      <c r="L535" s="88">
        <f>SUM(F535:K535)</f>
        <v>484.72666666666669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f>1454.18-H535</f>
        <v>969.45333333333338</v>
      </c>
      <c r="I537" s="18"/>
      <c r="J537" s="18"/>
      <c r="K537" s="18"/>
      <c r="L537" s="88">
        <f>SUM(F537:K537)</f>
        <v>969.45333333333338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42">SUM(G535:G537)</f>
        <v>0</v>
      </c>
      <c r="H538" s="89">
        <f t="shared" si="42"/>
        <v>1454.18</v>
      </c>
      <c r="I538" s="89">
        <f t="shared" si="42"/>
        <v>0</v>
      </c>
      <c r="J538" s="89">
        <f t="shared" si="42"/>
        <v>0</v>
      </c>
      <c r="K538" s="89">
        <f t="shared" si="42"/>
        <v>0</v>
      </c>
      <c r="L538" s="89">
        <f t="shared" si="42"/>
        <v>1454.18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2983.1</v>
      </c>
      <c r="I540" s="18"/>
      <c r="J540" s="18"/>
      <c r="K540" s="18"/>
      <c r="L540" s="88">
        <f>SUM(F540:K540)</f>
        <v>2983.1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3502.75</v>
      </c>
      <c r="I542" s="18"/>
      <c r="J542" s="18"/>
      <c r="K542" s="18"/>
      <c r="L542" s="88">
        <f>SUM(F542:K542)</f>
        <v>3502.75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3">SUM(G540:G542)</f>
        <v>0</v>
      </c>
      <c r="H543" s="193">
        <f t="shared" si="43"/>
        <v>6485.85</v>
      </c>
      <c r="I543" s="193">
        <f t="shared" si="43"/>
        <v>0</v>
      </c>
      <c r="J543" s="193">
        <f t="shared" si="43"/>
        <v>0</v>
      </c>
      <c r="K543" s="193">
        <f t="shared" si="43"/>
        <v>0</v>
      </c>
      <c r="L543" s="193">
        <f t="shared" si="43"/>
        <v>6485.85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1868773.1199999996</v>
      </c>
      <c r="G544" s="89">
        <f t="shared" ref="G544:L544" si="44">G523+G528+G533+G538+G543</f>
        <v>860111.54</v>
      </c>
      <c r="H544" s="89">
        <f t="shared" si="44"/>
        <v>138228.70000000001</v>
      </c>
      <c r="I544" s="89">
        <f t="shared" si="44"/>
        <v>18919.28</v>
      </c>
      <c r="J544" s="89">
        <f t="shared" si="44"/>
        <v>30627.030000000002</v>
      </c>
      <c r="K544" s="89">
        <f t="shared" si="44"/>
        <v>0</v>
      </c>
      <c r="L544" s="89">
        <f t="shared" si="44"/>
        <v>2916659.67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1242659.46</v>
      </c>
      <c r="G548" s="87">
        <f>L525</f>
        <v>64361.5</v>
      </c>
      <c r="H548" s="87">
        <f>L530</f>
        <v>45447</v>
      </c>
      <c r="I548" s="87">
        <f>L535</f>
        <v>484.72666666666669</v>
      </c>
      <c r="J548" s="87">
        <f>L540</f>
        <v>2983.1</v>
      </c>
      <c r="K548" s="87">
        <f>SUM(F548:J548)</f>
        <v>1355935.7866666666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25724</v>
      </c>
      <c r="I549" s="87">
        <f>L536</f>
        <v>0</v>
      </c>
      <c r="J549" s="87">
        <f>L541</f>
        <v>0</v>
      </c>
      <c r="K549" s="87">
        <f>SUM(F549:J549)</f>
        <v>25724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1405118.7399999998</v>
      </c>
      <c r="G550" s="87">
        <f>L527</f>
        <v>67090.94</v>
      </c>
      <c r="H550" s="87">
        <f>L532</f>
        <v>58318</v>
      </c>
      <c r="I550" s="87">
        <f>L537</f>
        <v>969.45333333333338</v>
      </c>
      <c r="J550" s="87">
        <f>L542</f>
        <v>3502.75</v>
      </c>
      <c r="K550" s="87">
        <f>SUM(F550:J550)</f>
        <v>1534999.8833333331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5">SUM(F548:F550)</f>
        <v>2647778.1999999997</v>
      </c>
      <c r="G551" s="89">
        <f t="shared" si="45"/>
        <v>131452.44</v>
      </c>
      <c r="H551" s="89">
        <f t="shared" si="45"/>
        <v>129489</v>
      </c>
      <c r="I551" s="89">
        <f t="shared" si="45"/>
        <v>1454.18</v>
      </c>
      <c r="J551" s="89">
        <f t="shared" si="45"/>
        <v>6485.85</v>
      </c>
      <c r="K551" s="89">
        <f t="shared" si="45"/>
        <v>2916659.67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6">SUM(F556:F558)</f>
        <v>0</v>
      </c>
      <c r="G559" s="108">
        <f t="shared" si="46"/>
        <v>0</v>
      </c>
      <c r="H559" s="108">
        <f t="shared" si="46"/>
        <v>0</v>
      </c>
      <c r="I559" s="108">
        <f t="shared" si="46"/>
        <v>0</v>
      </c>
      <c r="J559" s="108">
        <f t="shared" si="46"/>
        <v>0</v>
      </c>
      <c r="K559" s="108">
        <f t="shared" si="46"/>
        <v>0</v>
      </c>
      <c r="L559" s="89">
        <f t="shared" si="46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7">SUM(F561:F563)</f>
        <v>0</v>
      </c>
      <c r="G564" s="89">
        <f t="shared" si="47"/>
        <v>0</v>
      </c>
      <c r="H564" s="89">
        <f t="shared" si="47"/>
        <v>0</v>
      </c>
      <c r="I564" s="89">
        <f t="shared" si="47"/>
        <v>0</v>
      </c>
      <c r="J564" s="89">
        <f t="shared" si="47"/>
        <v>0</v>
      </c>
      <c r="K564" s="89">
        <f t="shared" si="47"/>
        <v>0</v>
      </c>
      <c r="L564" s="89">
        <f t="shared" si="47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8">SUM(G566:G568)</f>
        <v>0</v>
      </c>
      <c r="H569" s="193">
        <f t="shared" si="48"/>
        <v>0</v>
      </c>
      <c r="I569" s="193">
        <f t="shared" si="48"/>
        <v>0</v>
      </c>
      <c r="J569" s="193">
        <f t="shared" si="48"/>
        <v>0</v>
      </c>
      <c r="K569" s="193">
        <f t="shared" si="48"/>
        <v>0</v>
      </c>
      <c r="L569" s="193">
        <f t="shared" si="48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9">G559+G564+G569</f>
        <v>0</v>
      </c>
      <c r="H570" s="89">
        <f t="shared" si="49"/>
        <v>0</v>
      </c>
      <c r="I570" s="89">
        <f t="shared" si="49"/>
        <v>0</v>
      </c>
      <c r="J570" s="89">
        <f t="shared" si="49"/>
        <v>0</v>
      </c>
      <c r="K570" s="89">
        <f t="shared" si="49"/>
        <v>0</v>
      </c>
      <c r="L570" s="89">
        <f t="shared" si="49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50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50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50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50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50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50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50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50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50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>
        <v>33898.519999999997</v>
      </c>
      <c r="I584" s="87">
        <f t="shared" si="50"/>
        <v>33898.519999999997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50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50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0</v>
      </c>
      <c r="I590" s="18">
        <v>0</v>
      </c>
      <c r="J590" s="18">
        <v>0</v>
      </c>
      <c r="K590" s="104">
        <f t="shared" ref="K590:K596" si="51">SUM(H590:J590)</f>
        <v>0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2983.1</v>
      </c>
      <c r="I591" s="18">
        <v>0</v>
      </c>
      <c r="J591" s="18">
        <v>3502.75</v>
      </c>
      <c r="K591" s="104">
        <f t="shared" si="51"/>
        <v>6485.85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>
        <v>0</v>
      </c>
      <c r="I592" s="18">
        <v>0</v>
      </c>
      <c r="J592" s="18">
        <v>22057.85</v>
      </c>
      <c r="K592" s="104">
        <f t="shared" si="51"/>
        <v>22057.85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0</v>
      </c>
      <c r="I593" s="18">
        <v>0</v>
      </c>
      <c r="J593" s="18">
        <v>124452.82</v>
      </c>
      <c r="K593" s="104">
        <f t="shared" si="51"/>
        <v>124452.82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1803.21</v>
      </c>
      <c r="I594" s="18">
        <v>0</v>
      </c>
      <c r="J594" s="18">
        <v>13364.94</v>
      </c>
      <c r="K594" s="104">
        <f t="shared" si="51"/>
        <v>15168.150000000001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>
        <v>5236.32</v>
      </c>
      <c r="I595" s="18">
        <v>0</v>
      </c>
      <c r="J595" s="18">
        <v>0</v>
      </c>
      <c r="K595" s="104">
        <f t="shared" si="51"/>
        <v>5236.32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51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10022.629999999999</v>
      </c>
      <c r="I597" s="108">
        <f>SUM(I590:I596)</f>
        <v>0</v>
      </c>
      <c r="J597" s="108">
        <f>SUM(J590:J596)</f>
        <v>163378.36000000002</v>
      </c>
      <c r="K597" s="108">
        <f>SUM(K590:K596)</f>
        <v>173400.99000000002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>
        <v>0</v>
      </c>
      <c r="I601" s="18"/>
      <c r="J601" s="18">
        <v>0</v>
      </c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>
        <v>0</v>
      </c>
      <c r="I602" s="18"/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138984.81</v>
      </c>
      <c r="I603" s="18"/>
      <c r="J603" s="18">
        <v>257548.86</v>
      </c>
      <c r="K603" s="104">
        <f>SUM(H603:J603)</f>
        <v>396533.67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138984.81</v>
      </c>
      <c r="I604" s="108">
        <f>SUM(I601:I603)</f>
        <v>0</v>
      </c>
      <c r="J604" s="108">
        <f>SUM(J601:J603)</f>
        <v>257548.86</v>
      </c>
      <c r="K604" s="108">
        <f>SUM(K601:K603)</f>
        <v>396533.67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8773.84</v>
      </c>
      <c r="G610" s="18">
        <v>2807.63</v>
      </c>
      <c r="H610" s="18">
        <v>4293</v>
      </c>
      <c r="I610" s="18">
        <v>0</v>
      </c>
      <c r="J610" s="18">
        <v>0</v>
      </c>
      <c r="K610" s="18">
        <v>0</v>
      </c>
      <c r="L610" s="88">
        <f>SUM(F610:K610)</f>
        <v>15874.470000000001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7534.65</v>
      </c>
      <c r="G612" s="18">
        <v>2411.09</v>
      </c>
      <c r="H612" s="18">
        <v>11334.7</v>
      </c>
      <c r="I612" s="18">
        <v>0</v>
      </c>
      <c r="J612" s="18">
        <v>0</v>
      </c>
      <c r="K612" s="18">
        <v>0</v>
      </c>
      <c r="L612" s="88">
        <f>SUM(F612:K612)</f>
        <v>21280.440000000002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52">SUM(F610:F612)</f>
        <v>16308.49</v>
      </c>
      <c r="G613" s="108">
        <f t="shared" si="52"/>
        <v>5218.72</v>
      </c>
      <c r="H613" s="108">
        <f t="shared" si="52"/>
        <v>15627.7</v>
      </c>
      <c r="I613" s="108">
        <f t="shared" si="52"/>
        <v>0</v>
      </c>
      <c r="J613" s="108">
        <f t="shared" si="52"/>
        <v>0</v>
      </c>
      <c r="K613" s="108">
        <f t="shared" si="52"/>
        <v>0</v>
      </c>
      <c r="L613" s="89">
        <f t="shared" si="52"/>
        <v>37154.910000000003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722539.7</v>
      </c>
      <c r="H616" s="109">
        <f>SUM(F51)</f>
        <v>722539.7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43.59</v>
      </c>
      <c r="H617" s="109">
        <f>SUM(G51)</f>
        <v>43.590000000000146</v>
      </c>
      <c r="I617" s="121" t="s">
        <v>891</v>
      </c>
      <c r="J617" s="109">
        <f>G617-H617</f>
        <v>-1.4210854715202004E-13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83297.649999999994</v>
      </c>
      <c r="H618" s="109">
        <f>SUM(H51)</f>
        <v>83297.649999999994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-630.53</v>
      </c>
      <c r="H619" s="109">
        <f>SUM(I51)</f>
        <v>-630.52999999999884</v>
      </c>
      <c r="I619" s="121" t="s">
        <v>893</v>
      </c>
      <c r="J619" s="109">
        <f>G619-H619</f>
        <v>-1.1368683772161603E-12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83819.739999999991</v>
      </c>
      <c r="H620" s="109">
        <f>SUM(J51)</f>
        <v>83819.739999999991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510127.02</v>
      </c>
      <c r="H621" s="109">
        <f>F475</f>
        <v>510127.01999999583</v>
      </c>
      <c r="I621" s="121" t="s">
        <v>101</v>
      </c>
      <c r="J621" s="109">
        <f t="shared" ref="J621:J654" si="53">G621-H621</f>
        <v>4.1909515857696533E-9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-23025.05</v>
      </c>
      <c r="H622" s="109">
        <f>G475</f>
        <v>-23025.049999999988</v>
      </c>
      <c r="I622" s="121" t="s">
        <v>102</v>
      </c>
      <c r="J622" s="109">
        <f t="shared" si="53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9506.0099999999984</v>
      </c>
      <c r="H623" s="109">
        <f>H475</f>
        <v>9506.0100000000093</v>
      </c>
      <c r="I623" s="121" t="s">
        <v>103</v>
      </c>
      <c r="J623" s="109">
        <f t="shared" si="53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-88143.06</v>
      </c>
      <c r="H624" s="109">
        <f>I475</f>
        <v>-88143.06</v>
      </c>
      <c r="I624" s="121" t="s">
        <v>104</v>
      </c>
      <c r="J624" s="109">
        <f t="shared" si="53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83819.739999999991</v>
      </c>
      <c r="H625" s="109">
        <f>J475</f>
        <v>83819.740000000005</v>
      </c>
      <c r="I625" s="140" t="s">
        <v>105</v>
      </c>
      <c r="J625" s="109">
        <f t="shared" si="53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22733547.990000002</v>
      </c>
      <c r="H626" s="104">
        <f>SUM(F467)</f>
        <v>22733547.989999998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499929.22000000009</v>
      </c>
      <c r="H627" s="104">
        <f>SUM(G467)</f>
        <v>499929.22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257927.55</v>
      </c>
      <c r="H628" s="104">
        <f>SUM(H467)</f>
        <v>257927.55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1798.2</v>
      </c>
      <c r="H630" s="104">
        <f>SUM(J467)</f>
        <v>1798.2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22612116.370000001</v>
      </c>
      <c r="H631" s="104">
        <f>SUM(F471)</f>
        <v>22612116.370000001</v>
      </c>
      <c r="I631" s="140" t="s">
        <v>111</v>
      </c>
      <c r="J631" s="109">
        <f t="shared" si="53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276662.28999999998</v>
      </c>
      <c r="H632" s="104">
        <f>SUM(H471)</f>
        <v>276662.28999999998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154092.14000000001</v>
      </c>
      <c r="H633" s="104">
        <f>I368</f>
        <v>154092.14000000001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541963.11</v>
      </c>
      <c r="H634" s="104">
        <f>SUM(G471)</f>
        <v>541963.11</v>
      </c>
      <c r="I634" s="140" t="s">
        <v>114</v>
      </c>
      <c r="J634" s="109">
        <f t="shared" si="53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3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1798.2</v>
      </c>
      <c r="H636" s="164">
        <f>SUM(J467)</f>
        <v>1798.2</v>
      </c>
      <c r="I636" s="165" t="s">
        <v>110</v>
      </c>
      <c r="J636" s="151">
        <f t="shared" si="53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820.18</v>
      </c>
      <c r="H637" s="164">
        <f>SUM(J471)</f>
        <v>820.18</v>
      </c>
      <c r="I637" s="165" t="s">
        <v>117</v>
      </c>
      <c r="J637" s="151">
        <f t="shared" si="53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56125.57</v>
      </c>
      <c r="H638" s="104">
        <f>SUM(F460)</f>
        <v>56125.57</v>
      </c>
      <c r="I638" s="140" t="s">
        <v>857</v>
      </c>
      <c r="J638" s="109">
        <f t="shared" si="53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858</v>
      </c>
      <c r="J639" s="109">
        <f t="shared" si="53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27694.17</v>
      </c>
      <c r="H640" s="104">
        <f>SUM(H460)</f>
        <v>27694.17</v>
      </c>
      <c r="I640" s="140" t="s">
        <v>859</v>
      </c>
      <c r="J640" s="109">
        <f t="shared" si="53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83819.739999999991</v>
      </c>
      <c r="H641" s="104">
        <f>SUM(I460)</f>
        <v>83819.739999999991</v>
      </c>
      <c r="I641" s="140" t="s">
        <v>860</v>
      </c>
      <c r="J641" s="109">
        <f t="shared" si="53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3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1798.2</v>
      </c>
      <c r="H643" s="104">
        <f>H407</f>
        <v>1798.2</v>
      </c>
      <c r="I643" s="140" t="s">
        <v>481</v>
      </c>
      <c r="J643" s="109">
        <f t="shared" si="53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3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1798.2</v>
      </c>
      <c r="H645" s="104">
        <f>L407</f>
        <v>1798.2</v>
      </c>
      <c r="I645" s="140" t="s">
        <v>478</v>
      </c>
      <c r="J645" s="109">
        <f t="shared" si="53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173400.99000000002</v>
      </c>
      <c r="H646" s="104">
        <f>L207+L225+L243</f>
        <v>173400.99</v>
      </c>
      <c r="I646" s="140" t="s">
        <v>397</v>
      </c>
      <c r="J646" s="109">
        <f t="shared" si="53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396533.67</v>
      </c>
      <c r="H647" s="104">
        <f>(J256+J337)-(J254+J335)</f>
        <v>396533.67000000004</v>
      </c>
      <c r="I647" s="140" t="s">
        <v>703</v>
      </c>
      <c r="J647" s="109">
        <f t="shared" si="53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10022.629999999999</v>
      </c>
      <c r="H648" s="104">
        <f>H597</f>
        <v>10022.629999999999</v>
      </c>
      <c r="I648" s="140" t="s">
        <v>389</v>
      </c>
      <c r="J648" s="109">
        <f t="shared" si="53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3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163378.35999999999</v>
      </c>
      <c r="H650" s="104">
        <f>J597</f>
        <v>163378.36000000002</v>
      </c>
      <c r="I650" s="140" t="s">
        <v>391</v>
      </c>
      <c r="J650" s="109">
        <f t="shared" si="53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38740.22</v>
      </c>
      <c r="H651" s="104">
        <f>K262+K344</f>
        <v>38740.22</v>
      </c>
      <c r="I651" s="140" t="s">
        <v>398</v>
      </c>
      <c r="J651" s="109">
        <f t="shared" si="53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3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3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3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6841992.8000000007</v>
      </c>
      <c r="G659" s="19">
        <f>(L228+L308+L358)</f>
        <v>0</v>
      </c>
      <c r="H659" s="19">
        <f>(L246+L327+L359)</f>
        <v>12957349.149999999</v>
      </c>
      <c r="I659" s="19">
        <f>SUM(F659:H659)</f>
        <v>19799341.949999999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230335.17479935952</v>
      </c>
      <c r="G660" s="19">
        <f>(L358/IF(SUM(L357:L359)=0,1,SUM(L357:L359))*(SUM(G96:G109)))</f>
        <v>0</v>
      </c>
      <c r="H660" s="19">
        <f>(L359/IF(SUM(L357:L359)=0,1,SUM(L357:L359))*(SUM(G96:G109)))</f>
        <v>229884.37520064053</v>
      </c>
      <c r="I660" s="19">
        <f>SUM(F660:H660)</f>
        <v>460219.55000000005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10022.629999999999</v>
      </c>
      <c r="G661" s="19">
        <f>(L225+L305)-(J225+J305)</f>
        <v>0</v>
      </c>
      <c r="H661" s="19">
        <f>(L243+L324)-(J243+J324)</f>
        <v>163378.35999999999</v>
      </c>
      <c r="I661" s="19">
        <f>SUM(F661:H661)</f>
        <v>173400.99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154859.28</v>
      </c>
      <c r="G662" s="199">
        <f>SUM(G574:G586)+SUM(I601:I603)+L611</f>
        <v>0</v>
      </c>
      <c r="H662" s="199">
        <f>SUM(H574:H586)+SUM(J601:J603)+L612</f>
        <v>312727.82</v>
      </c>
      <c r="I662" s="19">
        <f>SUM(F662:H662)</f>
        <v>467587.1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6446775.7152006412</v>
      </c>
      <c r="G663" s="19">
        <f>G659-SUM(G660:G662)</f>
        <v>0</v>
      </c>
      <c r="H663" s="19">
        <f>H659-SUM(H660:H662)</f>
        <v>12251358.594799358</v>
      </c>
      <c r="I663" s="19">
        <f>I659-SUM(I660:I662)</f>
        <v>18698134.309999999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399.2</v>
      </c>
      <c r="G664" s="248"/>
      <c r="H664" s="248">
        <v>724.13</v>
      </c>
      <c r="I664" s="19">
        <f>SUM(F664:H664)</f>
        <v>1123.33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16149.24</v>
      </c>
      <c r="G666" s="19" t="e">
        <f>ROUND(G663/G664,2)</f>
        <v>#DIV/0!</v>
      </c>
      <c r="H666" s="19">
        <f>ROUND(H663/H664,2)</f>
        <v>16918.73</v>
      </c>
      <c r="I666" s="19">
        <f>ROUND(I663/I664,2)</f>
        <v>16645.27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-3.96</v>
      </c>
      <c r="I669" s="19">
        <f>SUM(F669:H669)</f>
        <v>-3.96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16149.24</v>
      </c>
      <c r="G671" s="19" t="e">
        <f>ROUND((G663+G668)/(G664+G669),2)</f>
        <v>#DIV/0!</v>
      </c>
      <c r="H671" s="19">
        <f>ROUND((H663+H668)/(H664+H669),2)</f>
        <v>17011.759999999998</v>
      </c>
      <c r="I671" s="19">
        <f>ROUND((I663+I668)/(I664+I669),2)</f>
        <v>16704.16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75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3" zoomScale="80" zoomScaleNormal="80" zoomScalePageLayoutView="150" workbookViewId="0">
      <selection activeCell="C37" sqref="C37:C39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3" t="s">
        <v>785</v>
      </c>
      <c r="B1" s="232" t="str">
        <f>'DOE25'!A2</f>
        <v>Dresden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6519503.9399999995</v>
      </c>
      <c r="C9" s="229">
        <f>'DOE25'!G196+'DOE25'!G214+'DOE25'!G232+'DOE25'!G275+'DOE25'!G294+'DOE25'!G313</f>
        <v>2135731.73</v>
      </c>
    </row>
    <row r="10" spans="1:3" x14ac:dyDescent="0.2">
      <c r="A10" t="s">
        <v>779</v>
      </c>
      <c r="B10" s="240">
        <v>6008969.0599999996</v>
      </c>
      <c r="C10" s="240">
        <f>ROUND(B10/B13*C9,2)</f>
        <v>1968485.03</v>
      </c>
    </row>
    <row r="11" spans="1:3" x14ac:dyDescent="0.2">
      <c r="A11" t="s">
        <v>780</v>
      </c>
      <c r="B11" s="240">
        <v>364000.33</v>
      </c>
      <c r="C11" s="240">
        <f>ROUND(B11/B13*C9,2)</f>
        <v>119243.28</v>
      </c>
    </row>
    <row r="12" spans="1:3" x14ac:dyDescent="0.2">
      <c r="A12" t="s">
        <v>781</v>
      </c>
      <c r="B12" s="240">
        <f>B9-B10-B11</f>
        <v>146534.54999999987</v>
      </c>
      <c r="C12" s="240">
        <f>C9-C11-C10</f>
        <v>48003.419999999925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6519503.9399999995</v>
      </c>
      <c r="C13" s="231">
        <f>SUM(C10:C12)</f>
        <v>2135731.73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1778919.1199999999</v>
      </c>
      <c r="C18" s="229">
        <f>'DOE25'!G197+'DOE25'!G215+'DOE25'!G233+'DOE25'!G276+'DOE25'!G295+'DOE25'!G314</f>
        <v>823341.54</v>
      </c>
    </row>
    <row r="19" spans="1:3" x14ac:dyDescent="0.2">
      <c r="A19" t="s">
        <v>779</v>
      </c>
      <c r="B19" s="240">
        <v>1137167.04</v>
      </c>
      <c r="C19" s="240">
        <f>B19/B22*C18</f>
        <v>526317.83616494131</v>
      </c>
    </row>
    <row r="20" spans="1:3" x14ac:dyDescent="0.2">
      <c r="A20" t="s">
        <v>780</v>
      </c>
      <c r="B20" s="240">
        <v>626070.82999999996</v>
      </c>
      <c r="C20" s="240">
        <f>B20/B22*C18</f>
        <v>289765.91207883478</v>
      </c>
    </row>
    <row r="21" spans="1:3" x14ac:dyDescent="0.2">
      <c r="A21" t="s">
        <v>781</v>
      </c>
      <c r="B21" s="240">
        <f>B18-B19-B20</f>
        <v>15681.249999999884</v>
      </c>
      <c r="C21" s="240">
        <f>B21/B22*C18</f>
        <v>7257.7917562238035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1778919.12</v>
      </c>
      <c r="C22" s="231">
        <f>SUM(C19:C21)</f>
        <v>823341.53999999992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410529.97</v>
      </c>
      <c r="C36" s="235">
        <f>'DOE25'!G199+'DOE25'!G217+'DOE25'!G235+'DOE25'!G278+'DOE25'!G297+'DOE25'!G316</f>
        <v>102819.62</v>
      </c>
    </row>
    <row r="37" spans="1:3" x14ac:dyDescent="0.2">
      <c r="A37" t="s">
        <v>779</v>
      </c>
      <c r="B37" s="240">
        <v>215675.25</v>
      </c>
      <c r="C37" s="240">
        <f>B37/B40*C36</f>
        <v>54017.12145012214</v>
      </c>
    </row>
    <row r="38" spans="1:3" x14ac:dyDescent="0.2">
      <c r="A38" t="s">
        <v>780</v>
      </c>
      <c r="B38" s="240">
        <v>43454.400000000001</v>
      </c>
      <c r="C38" s="240">
        <f>B38/B40*C36</f>
        <v>10883.407355930676</v>
      </c>
    </row>
    <row r="39" spans="1:3" x14ac:dyDescent="0.2">
      <c r="A39" t="s">
        <v>781</v>
      </c>
      <c r="B39" s="240">
        <f>B36-B37-B38</f>
        <v>151400.31999999998</v>
      </c>
      <c r="C39" s="240">
        <f>B39/B40*C36</f>
        <v>37919.091193947177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410529.97</v>
      </c>
      <c r="C40" s="231">
        <f>SUM(C37:C39)</f>
        <v>102819.62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  <pageSetUpPr fitToPage="1"/>
  </sheetPr>
  <dimension ref="A1:I51"/>
  <sheetViews>
    <sheetView zoomScale="150" zoomScaleNormal="150" zoomScalePageLayoutView="150" workbookViewId="0">
      <pane ySplit="4" topLeftCell="A5" activePane="bottomLeft" state="frozen"/>
      <selection pane="bottomLeft" activeCell="D12" sqref="D12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Dresden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12391942.67</v>
      </c>
      <c r="D5" s="20">
        <f>SUM('DOE25'!L196:L199)+SUM('DOE25'!L214:L217)+SUM('DOE25'!L232:L235)-F5-G5</f>
        <v>12185367.699999999</v>
      </c>
      <c r="E5" s="243"/>
      <c r="F5" s="255">
        <f>SUM('DOE25'!J196:J199)+SUM('DOE25'!J214:J217)+SUM('DOE25'!J232:J235)</f>
        <v>192367.73</v>
      </c>
      <c r="G5" s="53">
        <f>SUM('DOE25'!K196:K199)+SUM('DOE25'!K214:K217)+SUM('DOE25'!K232:K235)</f>
        <v>14207.24</v>
      </c>
      <c r="H5" s="259"/>
    </row>
    <row r="6" spans="1:9" x14ac:dyDescent="0.2">
      <c r="A6" s="32">
        <v>2100</v>
      </c>
      <c r="B6" t="s">
        <v>801</v>
      </c>
      <c r="C6" s="245">
        <f t="shared" si="0"/>
        <v>1129698.8700000001</v>
      </c>
      <c r="D6" s="20">
        <f>'DOE25'!L201+'DOE25'!L219+'DOE25'!L237-F6-G6</f>
        <v>1128974.8700000001</v>
      </c>
      <c r="E6" s="243"/>
      <c r="F6" s="255">
        <f>'DOE25'!J201+'DOE25'!J219+'DOE25'!J237</f>
        <v>399</v>
      </c>
      <c r="G6" s="53">
        <f>'DOE25'!K201+'DOE25'!K219+'DOE25'!K237</f>
        <v>325</v>
      </c>
      <c r="H6" s="259"/>
    </row>
    <row r="7" spans="1:9" x14ac:dyDescent="0.2">
      <c r="A7" s="32">
        <v>2200</v>
      </c>
      <c r="B7" t="s">
        <v>834</v>
      </c>
      <c r="C7" s="245">
        <f t="shared" si="0"/>
        <v>690553.44</v>
      </c>
      <c r="D7" s="20">
        <f>'DOE25'!L202+'DOE25'!L220+'DOE25'!L238-F7-G7</f>
        <v>543718.87999999989</v>
      </c>
      <c r="E7" s="243"/>
      <c r="F7" s="255">
        <f>'DOE25'!J202+'DOE25'!J220+'DOE25'!J238</f>
        <v>146118.56</v>
      </c>
      <c r="G7" s="53">
        <f>'DOE25'!K202+'DOE25'!K220+'DOE25'!K238</f>
        <v>716</v>
      </c>
      <c r="H7" s="259"/>
    </row>
    <row r="8" spans="1:9" x14ac:dyDescent="0.2">
      <c r="A8" s="32">
        <v>2300</v>
      </c>
      <c r="B8" t="s">
        <v>802</v>
      </c>
      <c r="C8" s="245">
        <f t="shared" si="0"/>
        <v>588240.99999999988</v>
      </c>
      <c r="D8" s="243"/>
      <c r="E8" s="20">
        <f>'DOE25'!L203+'DOE25'!L221+'DOE25'!L239-F8-G8-D9-D11</f>
        <v>581705.18999999983</v>
      </c>
      <c r="F8" s="255">
        <f>'DOE25'!J203+'DOE25'!J221+'DOE25'!J239</f>
        <v>0</v>
      </c>
      <c r="G8" s="53">
        <f>'DOE25'!K203+'DOE25'!K221+'DOE25'!K239</f>
        <v>6535.8099999999995</v>
      </c>
      <c r="H8" s="259"/>
    </row>
    <row r="9" spans="1:9" x14ac:dyDescent="0.2">
      <c r="A9" s="32">
        <v>2310</v>
      </c>
      <c r="B9" t="s">
        <v>818</v>
      </c>
      <c r="C9" s="245">
        <f t="shared" si="0"/>
        <v>60209.85</v>
      </c>
      <c r="D9" s="244">
        <v>60209.85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12800</v>
      </c>
      <c r="D10" s="243"/>
      <c r="E10" s="244">
        <v>12800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169720</v>
      </c>
      <c r="D11" s="244">
        <v>169720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1921232.67</v>
      </c>
      <c r="D12" s="20">
        <f>'DOE25'!L204+'DOE25'!L222+'DOE25'!L240-F12-G12</f>
        <v>1915504.67</v>
      </c>
      <c r="E12" s="243"/>
      <c r="F12" s="255">
        <f>'DOE25'!J204+'DOE25'!J222+'DOE25'!J240</f>
        <v>0</v>
      </c>
      <c r="G12" s="53">
        <f>'DOE25'!K204+'DOE25'!K222+'DOE25'!K240</f>
        <v>5728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1855717.0599999998</v>
      </c>
      <c r="D14" s="20">
        <f>'DOE25'!L206+'DOE25'!L224+'DOE25'!L242-F14-G14</f>
        <v>1862030.5799999998</v>
      </c>
      <c r="E14" s="243"/>
      <c r="F14" s="255">
        <f>'DOE25'!J206+'DOE25'!J224+'DOE25'!J242</f>
        <v>30686.48</v>
      </c>
      <c r="G14" s="53">
        <f>'DOE25'!K206+'DOE25'!K224+'DOE25'!K242</f>
        <v>-37000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173400.99</v>
      </c>
      <c r="D15" s="20">
        <f>'DOE25'!L207+'DOE25'!L225+'DOE25'!L243-F15-G15</f>
        <v>173400.99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113735.32</v>
      </c>
      <c r="D22" s="243"/>
      <c r="E22" s="243"/>
      <c r="F22" s="255">
        <f>'DOE25'!L254+'DOE25'!L335</f>
        <v>113735.32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3478924.2800000003</v>
      </c>
      <c r="D25" s="243"/>
      <c r="E25" s="243"/>
      <c r="F25" s="258"/>
      <c r="G25" s="256"/>
      <c r="H25" s="257">
        <f>'DOE25'!L259+'DOE25'!L260+'DOE25'!L340+'DOE25'!L341</f>
        <v>3478924.2800000003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397045.66</v>
      </c>
      <c r="D29" s="20">
        <f>'DOE25'!L357+'DOE25'!L358+'DOE25'!L359-'DOE25'!I366-F29-G29</f>
        <v>395848.75</v>
      </c>
      <c r="E29" s="243"/>
      <c r="F29" s="255">
        <f>'DOE25'!J357+'DOE25'!J358+'DOE25'!J359</f>
        <v>1196.9099999999999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276662.28999999998</v>
      </c>
      <c r="D31" s="20">
        <f>'DOE25'!L289+'DOE25'!L308+'DOE25'!L327+'DOE25'!L332+'DOE25'!L333+'DOE25'!L334-F31-G31</f>
        <v>249655.38999999998</v>
      </c>
      <c r="E31" s="243"/>
      <c r="F31" s="255">
        <f>'DOE25'!J289+'DOE25'!J308+'DOE25'!J327+'DOE25'!J332+'DOE25'!J333+'DOE25'!J334</f>
        <v>26961.9</v>
      </c>
      <c r="G31" s="53">
        <f>'DOE25'!K289+'DOE25'!K308+'DOE25'!K327+'DOE25'!K332+'DOE25'!K333+'DOE25'!K334</f>
        <v>45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18684431.679999996</v>
      </c>
      <c r="E33" s="246">
        <f>SUM(E5:E31)</f>
        <v>594505.18999999983</v>
      </c>
      <c r="F33" s="246">
        <f>SUM(F5:F31)</f>
        <v>511465.9</v>
      </c>
      <c r="G33" s="246">
        <f>SUM(G5:G31)</f>
        <v>-9442.9500000000007</v>
      </c>
      <c r="H33" s="246">
        <f>SUM(H5:H31)</f>
        <v>3478924.2800000003</v>
      </c>
    </row>
    <row r="35" spans="2:8" ht="12" thickBot="1" x14ac:dyDescent="0.25">
      <c r="B35" s="253" t="s">
        <v>847</v>
      </c>
      <c r="D35" s="254">
        <f>E33</f>
        <v>594505.18999999983</v>
      </c>
      <c r="E35" s="249"/>
    </row>
    <row r="36" spans="2:8" ht="12" thickTop="1" x14ac:dyDescent="0.2">
      <c r="B36" t="s">
        <v>815</v>
      </c>
      <c r="D36" s="20">
        <f>D33</f>
        <v>18684431.679999996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rintOptions horizontalCentered="1"/>
  <pageMargins left="0.5" right="0.5" top="0.5" bottom="0.5" header="0.5" footer="0.5"/>
  <pageSetup orientation="landscape" r:id="rId1"/>
  <headerFooter alignWithMargins="0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150" zoomScaleNormal="150" zoomScalePageLayoutView="150" workbookViewId="0">
      <pane ySplit="2" topLeftCell="A30" activePane="bottomLeft" state="frozen"/>
      <selection pane="bottomLeft" activeCell="A67" sqref="A67"/>
    </sheetView>
  </sheetViews>
  <sheetFormatPr defaultColWidth="9" defaultRowHeight="11.25" x14ac:dyDescent="0.2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Dresden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804946.89</v>
      </c>
      <c r="D8" s="95">
        <f>'DOE25'!G9</f>
        <v>-150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83819.739999999991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-93905.87000000001</v>
      </c>
      <c r="D12" s="95">
        <f>'DOE25'!G13</f>
        <v>176.34</v>
      </c>
      <c r="E12" s="95">
        <f>'DOE25'!H13</f>
        <v>84433.65</v>
      </c>
      <c r="F12" s="95">
        <f>'DOE25'!I13</f>
        <v>-630.53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6436.47</v>
      </c>
      <c r="D13" s="95">
        <f>'DOE25'!G14</f>
        <v>17.25</v>
      </c>
      <c r="E13" s="95">
        <f>'DOE25'!H14</f>
        <v>-1136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5062.21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722539.7</v>
      </c>
      <c r="D18" s="41">
        <f>SUM(D8:D17)</f>
        <v>43.59</v>
      </c>
      <c r="E18" s="41">
        <f>SUM(E8:E17)</f>
        <v>83297.649999999994</v>
      </c>
      <c r="F18" s="41">
        <f>SUM(F8:F17)</f>
        <v>-630.53</v>
      </c>
      <c r="G18" s="41">
        <f>SUM(G8:G17)</f>
        <v>83819.739999999991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-103698.77</v>
      </c>
      <c r="D21" s="95">
        <f>'DOE25'!G22</f>
        <v>-1061.04</v>
      </c>
      <c r="E21" s="95">
        <f>'DOE25'!H22</f>
        <v>72741.86</v>
      </c>
      <c r="F21" s="95">
        <f>'DOE25'!I22</f>
        <v>87512.53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247109.41999999998</v>
      </c>
      <c r="D23" s="95">
        <f>'DOE25'!G24</f>
        <v>1186.76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3000</v>
      </c>
      <c r="D29" s="95">
        <f>'DOE25'!G30</f>
        <v>22942.92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66002.03</v>
      </c>
      <c r="D30" s="95">
        <f>'DOE25'!G31</f>
        <v>0</v>
      </c>
      <c r="E30" s="95">
        <f>'DOE25'!H31</f>
        <v>1049.78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212412.67999999996</v>
      </c>
      <c r="D31" s="41">
        <f>SUM(D21:D30)</f>
        <v>23068.639999999999</v>
      </c>
      <c r="E31" s="41">
        <f>SUM(E21:E30)</f>
        <v>73791.64</v>
      </c>
      <c r="F31" s="41">
        <f>SUM(F21:F30)</f>
        <v>87512.53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-23025.05</v>
      </c>
      <c r="E46" s="95">
        <f>'DOE25'!H47</f>
        <v>9506.0099999999984</v>
      </c>
      <c r="F46" s="95">
        <f>'DOE25'!I47</f>
        <v>-88143.06</v>
      </c>
      <c r="G46" s="95">
        <f>'DOE25'!J47</f>
        <v>83819.739999999991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510127.02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510127.02</v>
      </c>
      <c r="D49" s="41">
        <f>SUM(D34:D48)</f>
        <v>-23025.05</v>
      </c>
      <c r="E49" s="41">
        <f>SUM(E34:E48)</f>
        <v>9506.0099999999984</v>
      </c>
      <c r="F49" s="41">
        <f>SUM(F34:F48)</f>
        <v>-88143.06</v>
      </c>
      <c r="G49" s="41">
        <f>SUM(G34:G48)</f>
        <v>83819.739999999991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722539.7</v>
      </c>
      <c r="D50" s="41">
        <f>D49+D31</f>
        <v>43.590000000000146</v>
      </c>
      <c r="E50" s="41">
        <f>E49+E31</f>
        <v>83297.649999999994</v>
      </c>
      <c r="F50" s="41">
        <f>F49+F31</f>
        <v>-630.52999999999884</v>
      </c>
      <c r="G50" s="41">
        <f>G49+G31</f>
        <v>83819.739999999991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15929901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3565415.03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2061.09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1798.2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460101.13000000006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298527.18</v>
      </c>
      <c r="D60" s="95">
        <f>SUM('DOE25'!G97:G109)</f>
        <v>118.42</v>
      </c>
      <c r="E60" s="95">
        <f>SUM('DOE25'!H97:H109)</f>
        <v>11892.39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3866003.3</v>
      </c>
      <c r="D61" s="130">
        <f>SUM(D56:D60)</f>
        <v>460219.55000000005</v>
      </c>
      <c r="E61" s="130">
        <f>SUM(E56:E60)</f>
        <v>11892.39</v>
      </c>
      <c r="F61" s="130">
        <f>SUM(F56:F60)</f>
        <v>0</v>
      </c>
      <c r="G61" s="130">
        <f>SUM(G56:G60)</f>
        <v>1798.2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19795904.300000001</v>
      </c>
      <c r="D62" s="22">
        <f>D55+D61</f>
        <v>460219.55000000005</v>
      </c>
      <c r="E62" s="22">
        <f>E55+E61</f>
        <v>11892.39</v>
      </c>
      <c r="F62" s="22">
        <f>F55+F61</f>
        <v>0</v>
      </c>
      <c r="G62" s="22">
        <f>G55+G61</f>
        <v>1798.2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0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2442667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2442667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461111.19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31241.61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781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492352.8</v>
      </c>
      <c r="D77" s="130">
        <f>SUM(D71:D76)</f>
        <v>0</v>
      </c>
      <c r="E77" s="130">
        <f>SUM(E71:E76)</f>
        <v>781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2935019.8</v>
      </c>
      <c r="D80" s="130">
        <f>SUM(D78:D79)+D77+D69</f>
        <v>0</v>
      </c>
      <c r="E80" s="130">
        <f>SUM(E78:E79)+E77+E69</f>
        <v>781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0</v>
      </c>
      <c r="D87" s="95">
        <f>SUM('DOE25'!G152:G160)</f>
        <v>969.45</v>
      </c>
      <c r="E87" s="95">
        <f>SUM('DOE25'!H152:H160)</f>
        <v>245254.16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2623.89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2623.89</v>
      </c>
      <c r="D90" s="131">
        <f>SUM(D84:D89)</f>
        <v>969.45</v>
      </c>
      <c r="E90" s="131">
        <f>SUM(E84:E89)</f>
        <v>245254.16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38740.22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38740.22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22733547.990000002</v>
      </c>
      <c r="D103" s="86">
        <f>D62+D80+D90+D102</f>
        <v>499929.22000000009</v>
      </c>
      <c r="E103" s="86">
        <f>E62+E80+E90+E102</f>
        <v>257927.55</v>
      </c>
      <c r="F103" s="86">
        <f>F62+F80+F90+F102</f>
        <v>0</v>
      </c>
      <c r="G103" s="86">
        <f>G62+G80+G102</f>
        <v>1798.2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9100516.5899999999</v>
      </c>
      <c r="D108" s="24" t="s">
        <v>289</v>
      </c>
      <c r="E108" s="95">
        <f>('DOE25'!L275)+('DOE25'!L294)+('DOE25'!L313)</f>
        <v>6076.94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2539272.42</v>
      </c>
      <c r="D109" s="24" t="s">
        <v>289</v>
      </c>
      <c r="E109" s="95">
        <f>('DOE25'!L276)+('DOE25'!L295)+('DOE25'!L314)</f>
        <v>239958.21999999997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33898.519999999997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718255.14</v>
      </c>
      <c r="D111" s="24" t="s">
        <v>289</v>
      </c>
      <c r="E111" s="95">
        <f>+('DOE25'!L278)+('DOE25'!L297)+('DOE25'!L316)</f>
        <v>30627.129999999997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12391942.67</v>
      </c>
      <c r="D114" s="86">
        <f>SUM(D108:D113)</f>
        <v>0</v>
      </c>
      <c r="E114" s="86">
        <f>SUM(E108:E113)</f>
        <v>276662.28999999998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1129698.8700000001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690553.44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818170.84999999986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1921232.67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1855717.0599999998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173400.99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541963.11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6588773.8799999999</v>
      </c>
      <c r="D127" s="86">
        <f>SUM(D117:D126)</f>
        <v>541963.11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113735.32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2354210.98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1124713.3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38740.22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1798.2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-1798.2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3631399.82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22612116.370000001</v>
      </c>
      <c r="D144" s="86">
        <f>(D114+D127+D143)</f>
        <v>541963.11</v>
      </c>
      <c r="E144" s="86">
        <f>(E114+E127+E143)</f>
        <v>276662.28999999998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20</v>
      </c>
      <c r="C150" s="153">
        <f>'DOE25'!G489</f>
        <v>20</v>
      </c>
      <c r="D150" s="153">
        <f>'DOE25'!H489</f>
        <v>20</v>
      </c>
      <c r="E150" s="153">
        <f>'DOE25'!I489</f>
        <v>20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 t="str">
        <f>'DOE25'!F490</f>
        <v>1/15/07</v>
      </c>
      <c r="C151" s="152" t="str">
        <f>'DOE25'!G490</f>
        <v>12/22/04</v>
      </c>
      <c r="D151" s="152" t="str">
        <f>'DOE25'!H490</f>
        <v>8/15/03</v>
      </c>
      <c r="E151" s="152" t="str">
        <f>'DOE25'!I490</f>
        <v>8/15/01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 t="str">
        <f>'DOE25'!F491</f>
        <v>1/15/07</v>
      </c>
      <c r="C152" s="152" t="str">
        <f>'DOE25'!G491</f>
        <v>1/15/25</v>
      </c>
      <c r="D152" s="152" t="str">
        <f>'DOE25'!H491</f>
        <v>8/15/03</v>
      </c>
      <c r="E152" s="152" t="str">
        <f>'DOE25'!I491</f>
        <v>8/15/01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2532900</v>
      </c>
      <c r="C153" s="137">
        <f>'DOE25'!G492</f>
        <v>4000000</v>
      </c>
      <c r="D153" s="137">
        <f>'DOE25'!H492</f>
        <v>38460936</v>
      </c>
      <c r="E153" s="137">
        <f>'DOE25'!I492</f>
        <v>1100000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4.08</v>
      </c>
      <c r="C154" s="137">
        <f>'DOE25'!G493</f>
        <v>4.47</v>
      </c>
      <c r="D154" s="137">
        <f>'DOE25'!H493</f>
        <v>4.62</v>
      </c>
      <c r="E154" s="137">
        <f>'DOE25'!I493</f>
        <v>4.71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1684362</v>
      </c>
      <c r="C155" s="137">
        <f>'DOE25'!G494</f>
        <v>2184150</v>
      </c>
      <c r="D155" s="137">
        <f>'DOE25'!H494</f>
        <v>18112893</v>
      </c>
      <c r="E155" s="137">
        <f>'DOE25'!I494</f>
        <v>550000</v>
      </c>
      <c r="F155" s="137">
        <f>'DOE25'!J494</f>
        <v>0</v>
      </c>
      <c r="G155" s="138">
        <f>SUM(B155:F155)</f>
        <v>22531405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149091</v>
      </c>
      <c r="C157" s="137">
        <f>'DOE25'!G496</f>
        <v>217357</v>
      </c>
      <c r="D157" s="137">
        <f>'DOE25'!H496</f>
        <v>1932763</v>
      </c>
      <c r="E157" s="137">
        <f>'DOE25'!I496</f>
        <v>55000</v>
      </c>
      <c r="F157" s="137">
        <f>'DOE25'!J496</f>
        <v>0</v>
      </c>
      <c r="G157" s="138">
        <f t="shared" si="0"/>
        <v>2354211</v>
      </c>
    </row>
    <row r="158" spans="1:9" x14ac:dyDescent="0.2">
      <c r="A158" s="22" t="s">
        <v>35</v>
      </c>
      <c r="B158" s="137">
        <f>'DOE25'!F497</f>
        <v>1535271</v>
      </c>
      <c r="C158" s="137">
        <f>'DOE25'!G497</f>
        <v>1966793</v>
      </c>
      <c r="D158" s="137">
        <f>'DOE25'!H497</f>
        <v>16180130</v>
      </c>
      <c r="E158" s="137">
        <f>'DOE25'!I497</f>
        <v>495000</v>
      </c>
      <c r="F158" s="137">
        <f>'DOE25'!J497</f>
        <v>0</v>
      </c>
      <c r="G158" s="138">
        <f t="shared" si="0"/>
        <v>20177194</v>
      </c>
    </row>
    <row r="159" spans="1:9" x14ac:dyDescent="0.2">
      <c r="A159" s="22" t="s">
        <v>36</v>
      </c>
      <c r="B159" s="137">
        <f>'DOE25'!F498</f>
        <v>1155198</v>
      </c>
      <c r="C159" s="137">
        <f>'DOE25'!G498</f>
        <v>1720045</v>
      </c>
      <c r="D159" s="137">
        <f>'DOE25'!H498</f>
        <v>15914071</v>
      </c>
      <c r="E159" s="137">
        <f>'DOE25'!I498</f>
        <v>109979</v>
      </c>
      <c r="F159" s="137">
        <f>'DOE25'!J498</f>
        <v>0</v>
      </c>
      <c r="G159" s="138">
        <f t="shared" si="0"/>
        <v>18899293</v>
      </c>
    </row>
    <row r="160" spans="1:9" x14ac:dyDescent="0.2">
      <c r="A160" s="22" t="s">
        <v>37</v>
      </c>
      <c r="B160" s="137">
        <f>'DOE25'!F499</f>
        <v>2690469</v>
      </c>
      <c r="C160" s="137">
        <f>'DOE25'!G499</f>
        <v>3686838</v>
      </c>
      <c r="D160" s="137">
        <f>'DOE25'!H499</f>
        <v>32094201</v>
      </c>
      <c r="E160" s="137">
        <f>'DOE25'!I499</f>
        <v>604979</v>
      </c>
      <c r="F160" s="137">
        <f>'DOE25'!J499</f>
        <v>0</v>
      </c>
      <c r="G160" s="138">
        <f t="shared" si="0"/>
        <v>39076487</v>
      </c>
    </row>
    <row r="161" spans="1:7" x14ac:dyDescent="0.2">
      <c r="A161" s="22" t="s">
        <v>38</v>
      </c>
      <c r="B161" s="137">
        <f>'DOE25'!F500</f>
        <v>142841</v>
      </c>
      <c r="C161" s="137">
        <f>'DOE25'!G500</f>
        <v>205715</v>
      </c>
      <c r="D161" s="137">
        <f>'DOE25'!H500</f>
        <v>1843965</v>
      </c>
      <c r="E161" s="137">
        <f>'DOE25'!I500</f>
        <v>55000</v>
      </c>
      <c r="F161" s="137">
        <f>'DOE25'!J500</f>
        <v>0</v>
      </c>
      <c r="G161" s="138">
        <f t="shared" si="0"/>
        <v>2247521</v>
      </c>
    </row>
    <row r="162" spans="1:7" x14ac:dyDescent="0.2">
      <c r="A162" s="22" t="s">
        <v>39</v>
      </c>
      <c r="B162" s="137">
        <f>'DOE25'!F501</f>
        <v>49166</v>
      </c>
      <c r="C162" s="137">
        <f>'DOE25'!G501</f>
        <v>99454</v>
      </c>
      <c r="D162" s="137">
        <f>'DOE25'!H501</f>
        <v>1053853</v>
      </c>
      <c r="E162" s="137">
        <f>'DOE25'!I501</f>
        <v>22756</v>
      </c>
      <c r="F162" s="137">
        <f>'DOE25'!J501</f>
        <v>0</v>
      </c>
      <c r="G162" s="138">
        <f t="shared" si="0"/>
        <v>1225229</v>
      </c>
    </row>
    <row r="163" spans="1:7" x14ac:dyDescent="0.2">
      <c r="A163" s="22" t="s">
        <v>246</v>
      </c>
      <c r="B163" s="137">
        <f>'DOE25'!F502</f>
        <v>192007</v>
      </c>
      <c r="C163" s="137">
        <f>'DOE25'!G502</f>
        <v>305169</v>
      </c>
      <c r="D163" s="137">
        <f>'DOE25'!H502</f>
        <v>2897818</v>
      </c>
      <c r="E163" s="137">
        <f>'DOE25'!I502</f>
        <v>77756</v>
      </c>
      <c r="F163" s="137">
        <f>'DOE25'!J502</f>
        <v>0</v>
      </c>
      <c r="G163" s="138">
        <f t="shared" si="0"/>
        <v>3472750</v>
      </c>
    </row>
  </sheetData>
  <sheetProtection password="BB0A" sheet="1" objects="1" scenarios="1"/>
  <phoneticPr fontId="0" type="noConversion"/>
  <printOptions horizontalCentered="1" gridLines="1" gridLinesSet="0"/>
  <pageMargins left="0.75" right="0.75" top="1" bottom="1" header="0.5" footer="0.5"/>
  <pageSetup scale="80" orientation="landscape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  <pageSetUpPr fitToPage="1"/>
  </sheetPr>
  <dimension ref="A1:D42"/>
  <sheetViews>
    <sheetView zoomScale="150" zoomScaleNormal="150" zoomScalePageLayoutView="150" workbookViewId="0">
      <selection activeCell="C4" sqref="C4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Dresden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16149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17012</v>
      </c>
    </row>
    <row r="7" spans="1:4" x14ac:dyDescent="0.2">
      <c r="B7" t="s">
        <v>705</v>
      </c>
      <c r="C7" s="179">
        <f>IF('DOE25'!I664+'DOE25'!I669=0,0,ROUND('DOE25'!I671,0))</f>
        <v>16704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9106594</v>
      </c>
      <c r="D10" s="182">
        <f>ROUND((C10/$C$28)*100,1)</f>
        <v>44.5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2779231</v>
      </c>
      <c r="D11" s="182">
        <f>ROUND((C11/$C$28)*100,1)</f>
        <v>13.6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33899</v>
      </c>
      <c r="D12" s="182">
        <f>ROUND((C12/$C$28)*100,1)</f>
        <v>0.2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748882</v>
      </c>
      <c r="D13" s="182">
        <f>ROUND((C13/$C$28)*100,1)</f>
        <v>3.7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1129699</v>
      </c>
      <c r="D15" s="182">
        <f t="shared" ref="D15:D27" si="0">ROUND((C15/$C$28)*100,1)</f>
        <v>5.5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690553</v>
      </c>
      <c r="D16" s="182">
        <f t="shared" si="0"/>
        <v>3.4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818171</v>
      </c>
      <c r="D17" s="182">
        <f t="shared" si="0"/>
        <v>4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1921233</v>
      </c>
      <c r="D18" s="182">
        <f t="shared" si="0"/>
        <v>9.4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1855717</v>
      </c>
      <c r="D20" s="182">
        <f t="shared" si="0"/>
        <v>9.1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173401</v>
      </c>
      <c r="D21" s="182">
        <f t="shared" si="0"/>
        <v>0.8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1124713</v>
      </c>
      <c r="D25" s="182">
        <f t="shared" si="0"/>
        <v>5.5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81743.449999999953</v>
      </c>
      <c r="D27" s="182">
        <f t="shared" si="0"/>
        <v>0.4</v>
      </c>
    </row>
    <row r="28" spans="1:4" x14ac:dyDescent="0.2">
      <c r="B28" s="187" t="s">
        <v>723</v>
      </c>
      <c r="C28" s="180">
        <f>SUM(C10:C27)</f>
        <v>20463836.449999999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113735</v>
      </c>
    </row>
    <row r="30" spans="1:4" x14ac:dyDescent="0.2">
      <c r="B30" s="187" t="s">
        <v>729</v>
      </c>
      <c r="C30" s="180">
        <f>SUM(C28:C29)</f>
        <v>20577571.449999999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2354211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15929901</v>
      </c>
      <c r="D35" s="182">
        <f t="shared" ref="D35:D40" si="1">ROUND((C35/$C$41)*100,1)</f>
        <v>69.3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3879693.8900000006</v>
      </c>
      <c r="D36" s="182">
        <f t="shared" si="1"/>
        <v>16.899999999999999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2442667</v>
      </c>
      <c r="D37" s="182">
        <f t="shared" si="1"/>
        <v>10.6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493134</v>
      </c>
      <c r="D38" s="182">
        <f t="shared" si="1"/>
        <v>2.1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248848</v>
      </c>
      <c r="D39" s="182">
        <f t="shared" si="1"/>
        <v>1.1000000000000001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22994243.890000001</v>
      </c>
      <c r="D41" s="184">
        <f>SUM(D35:D40)</f>
        <v>99.999999999999972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scale="99" orientation="portrait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  <pageSetUpPr fitToPage="1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Dresden School District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0" orientation="portrait"/>
  <headerFooter alignWithMargins="0">
    <oddHeader>&amp;LDistrict Notes</oddHeader>
    <oddFooter>&amp;CPage &amp;P of &amp;N</oddFooter>
  </headerFooter>
  <extLst>
    <ext xmlns:mx="http://schemas.microsoft.com/office/mac/excel/2008/main" uri="{64002731-A6B0-56B0-2670-7721B7C09600}">
      <mx:PLV Mode="0" OnePage="0" WScale="85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2013-09-19T15:03:42Z</cp:lastPrinted>
  <dcterms:created xsi:type="dcterms:W3CDTF">1997-12-04T19:04:30Z</dcterms:created>
  <dcterms:modified xsi:type="dcterms:W3CDTF">2013-12-05T18:38:50Z</dcterms:modified>
</cp:coreProperties>
</file>