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105" yWindow="285" windowWidth="17460" windowHeight="8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E46" i="2" l="1"/>
  <c r="I590" i="1" l="1"/>
  <c r="H590" i="1"/>
  <c r="H243" i="1"/>
  <c r="H225" i="1"/>
  <c r="H207" i="1"/>
  <c r="G224" i="1" l="1"/>
  <c r="G222" i="1"/>
  <c r="F238" i="1"/>
  <c r="F237" i="1"/>
  <c r="F219" i="1"/>
  <c r="F220" i="1"/>
  <c r="F202" i="1"/>
  <c r="F201" i="1"/>
  <c r="H201" i="1"/>
  <c r="B39" i="12" l="1"/>
  <c r="C19" i="12"/>
  <c r="F233" i="1"/>
  <c r="F215" i="1"/>
  <c r="B19" i="12"/>
  <c r="B20" i="12"/>
  <c r="B21" i="12"/>
  <c r="B10" i="12"/>
  <c r="B11" i="12"/>
  <c r="B12" i="12"/>
  <c r="F196" i="1"/>
  <c r="D11" i="13"/>
  <c r="F611" i="1" l="1"/>
  <c r="I601" i="1"/>
  <c r="H238" i="1"/>
  <c r="H242" i="1"/>
  <c r="I594" i="1"/>
  <c r="I593" i="1"/>
  <c r="I357" i="1"/>
  <c r="H581" i="1"/>
  <c r="G556" i="1"/>
  <c r="F556" i="1" l="1"/>
  <c r="K532" i="1"/>
  <c r="K531" i="1"/>
  <c r="K530" i="1"/>
  <c r="I527" i="1"/>
  <c r="I526" i="1"/>
  <c r="I525" i="1"/>
  <c r="H527" i="1"/>
  <c r="H526" i="1"/>
  <c r="H525" i="1"/>
  <c r="G525" i="1"/>
  <c r="F527" i="1"/>
  <c r="G527" i="1"/>
  <c r="F526" i="1"/>
  <c r="G526" i="1"/>
  <c r="F525" i="1"/>
  <c r="J527" i="1"/>
  <c r="J526" i="1"/>
  <c r="J525" i="1"/>
  <c r="G522" i="1"/>
  <c r="H522" i="1"/>
  <c r="I522" i="1"/>
  <c r="J522" i="1"/>
  <c r="K522" i="1"/>
  <c r="F522" i="1"/>
  <c r="G521" i="1"/>
  <c r="H521" i="1"/>
  <c r="I521" i="1"/>
  <c r="J521" i="1"/>
  <c r="K521" i="1"/>
  <c r="F521" i="1"/>
  <c r="G520" i="1"/>
  <c r="H520" i="1"/>
  <c r="I520" i="1"/>
  <c r="J520" i="1"/>
  <c r="K520" i="1"/>
  <c r="F520" i="1"/>
  <c r="H506" i="1" l="1"/>
  <c r="F498" i="1"/>
  <c r="F497" i="1"/>
  <c r="F367" i="1" l="1"/>
  <c r="H367" i="1"/>
  <c r="G367" i="1"/>
  <c r="H366" i="1"/>
  <c r="G366" i="1"/>
  <c r="F366" i="1"/>
  <c r="I359" i="1"/>
  <c r="I358" i="1"/>
  <c r="G359" i="1"/>
  <c r="G358" i="1"/>
  <c r="G357" i="1"/>
  <c r="F359" i="1"/>
  <c r="F358" i="1"/>
  <c r="F357" i="1"/>
  <c r="I275" i="1"/>
  <c r="H319" i="1"/>
  <c r="H300" i="1"/>
  <c r="H281" i="1"/>
  <c r="K343" i="1"/>
  <c r="I280" i="1"/>
  <c r="F275" i="1"/>
  <c r="F276" i="1"/>
  <c r="F280" i="1"/>
  <c r="F468" i="1" l="1"/>
  <c r="G196" i="1" l="1"/>
  <c r="F24" i="1" l="1"/>
  <c r="H467" i="1"/>
  <c r="G467" i="1"/>
  <c r="H471" i="1"/>
  <c r="F464" i="1" l="1"/>
  <c r="F9" i="1"/>
  <c r="G233" i="1" l="1"/>
  <c r="G215" i="1"/>
  <c r="G197" i="1"/>
  <c r="G232" i="1"/>
  <c r="G214" i="1"/>
  <c r="K238" i="1"/>
  <c r="J220" i="1"/>
  <c r="J238" i="1"/>
  <c r="J202" i="1"/>
  <c r="J201" i="1"/>
  <c r="J204" i="1"/>
  <c r="I238" i="1"/>
  <c r="I237" i="1"/>
  <c r="I233" i="1"/>
  <c r="I232" i="1"/>
  <c r="I240" i="1"/>
  <c r="I235" i="1"/>
  <c r="I222" i="1"/>
  <c r="I220" i="1"/>
  <c r="I219" i="1"/>
  <c r="I217" i="1"/>
  <c r="I215" i="1"/>
  <c r="I214" i="1"/>
  <c r="I204" i="1"/>
  <c r="I202" i="1"/>
  <c r="I201" i="1"/>
  <c r="I199" i="1"/>
  <c r="I197" i="1"/>
  <c r="I196" i="1"/>
  <c r="H233" i="1"/>
  <c r="H237" i="1"/>
  <c r="H234" i="1"/>
  <c r="H232" i="1"/>
  <c r="H240" i="1"/>
  <c r="H235" i="1"/>
  <c r="H220" i="1"/>
  <c r="H219" i="1"/>
  <c r="H224" i="1"/>
  <c r="H221" i="1"/>
  <c r="H215" i="1"/>
  <c r="H214" i="1"/>
  <c r="H222" i="1"/>
  <c r="H217" i="1"/>
  <c r="H196" i="1"/>
  <c r="H206" i="1"/>
  <c r="H203" i="1"/>
  <c r="H202" i="1"/>
  <c r="H197" i="1"/>
  <c r="H204" i="1"/>
  <c r="H199" i="1"/>
  <c r="G240" i="1"/>
  <c r="G238" i="1"/>
  <c r="G237" i="1"/>
  <c r="G242" i="1"/>
  <c r="G239" i="1"/>
  <c r="G202" i="1"/>
  <c r="G221" i="1"/>
  <c r="G220" i="1"/>
  <c r="G219" i="1"/>
  <c r="G217" i="1"/>
  <c r="G201" i="1"/>
  <c r="G203" i="1"/>
  <c r="G235" i="1"/>
  <c r="G206" i="1"/>
  <c r="G204" i="1"/>
  <c r="F197" i="1" l="1"/>
  <c r="G199" i="1" l="1"/>
  <c r="F221" i="1"/>
  <c r="F214" i="1" l="1"/>
  <c r="F242" i="1"/>
  <c r="F224" i="1"/>
  <c r="F206" i="1"/>
  <c r="F239" i="1"/>
  <c r="F203" i="1"/>
  <c r="F232" i="1"/>
  <c r="F235" i="1"/>
  <c r="F217" i="1"/>
  <c r="F240" i="1"/>
  <c r="F222" i="1"/>
  <c r="F204" i="1"/>
  <c r="H154" i="1"/>
  <c r="H153" i="1"/>
  <c r="H158" i="1"/>
  <c r="G160" i="1"/>
  <c r="G157" i="1"/>
  <c r="G131" i="1"/>
  <c r="G96" i="1"/>
  <c r="F62" i="1"/>
  <c r="H24" i="1"/>
  <c r="H47" i="1"/>
  <c r="G47" i="1"/>
  <c r="F12" i="1"/>
  <c r="F49" i="1"/>
  <c r="F28" i="1"/>
  <c r="C37" i="10" l="1"/>
  <c r="F40" i="2" l="1"/>
  <c r="F49" i="2" s="1"/>
  <c r="F50" i="2" s="1"/>
  <c r="D39" i="2"/>
  <c r="G654" i="1"/>
  <c r="F47" i="2"/>
  <c r="E47" i="2"/>
  <c r="D47" i="2"/>
  <c r="C47" i="2"/>
  <c r="F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C69" i="2" s="1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E16" i="13" s="1"/>
  <c r="C16" i="13" s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C13" i="10" s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49" i="1" s="1"/>
  <c r="L243" i="1"/>
  <c r="F17" i="13"/>
  <c r="G17" i="13"/>
  <c r="L250" i="1"/>
  <c r="F18" i="13"/>
  <c r="D18" i="13" s="1"/>
  <c r="C18" i="13" s="1"/>
  <c r="G18" i="13"/>
  <c r="L251" i="1"/>
  <c r="F19" i="13"/>
  <c r="G19" i="13"/>
  <c r="D19" i="13" s="1"/>
  <c r="C19" i="13" s="1"/>
  <c r="L252" i="1"/>
  <c r="F29" i="13"/>
  <c r="G29" i="13"/>
  <c r="L357" i="1"/>
  <c r="L358" i="1"/>
  <c r="H660" i="1" s="1"/>
  <c r="L359" i="1"/>
  <c r="I366" i="1"/>
  <c r="I368" i="1" s="1"/>
  <c r="H633" i="1" s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E122" i="2" s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H111" i="1" s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9" i="10"/>
  <c r="L249" i="1"/>
  <c r="L331" i="1"/>
  <c r="C23" i="10" s="1"/>
  <c r="L253" i="1"/>
  <c r="C25" i="10"/>
  <c r="L267" i="1"/>
  <c r="L268" i="1"/>
  <c r="L348" i="1"/>
  <c r="L349" i="1"/>
  <c r="I664" i="1"/>
  <c r="I669" i="1"/>
  <c r="F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50" i="1" s="1"/>
  <c r="L344" i="1"/>
  <c r="L345" i="1"/>
  <c r="L346" i="1"/>
  <c r="K350" i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I551" i="1" s="1"/>
  <c r="L540" i="1"/>
  <c r="J548" i="1" s="1"/>
  <c r="L541" i="1"/>
  <c r="J549" i="1" s="1"/>
  <c r="J551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F18" i="2" s="1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E31" i="2" s="1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C61" i="2" s="1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D80" i="2" s="1"/>
  <c r="E68" i="2"/>
  <c r="E69" i="2" s="1"/>
  <c r="F68" i="2"/>
  <c r="F69" i="2" s="1"/>
  <c r="G68" i="2"/>
  <c r="G69" i="2" s="1"/>
  <c r="G80" i="2" s="1"/>
  <c r="C71" i="2"/>
  <c r="C77" i="2" s="1"/>
  <c r="C80" i="2" s="1"/>
  <c r="F71" i="2"/>
  <c r="C72" i="2"/>
  <c r="F72" i="2"/>
  <c r="C73" i="2"/>
  <c r="C74" i="2"/>
  <c r="C75" i="2"/>
  <c r="E75" i="2"/>
  <c r="E77" i="2" s="1"/>
  <c r="E80" i="2" s="1"/>
  <c r="F75" i="2"/>
  <c r="F77" i="2" s="1"/>
  <c r="F80" i="2" s="1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C90" i="2" s="1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E102" i="2" s="1"/>
  <c r="F95" i="2"/>
  <c r="G95" i="2"/>
  <c r="C96" i="2"/>
  <c r="D96" i="2"/>
  <c r="E96" i="2"/>
  <c r="F96" i="2"/>
  <c r="G96" i="2"/>
  <c r="G102" i="2" s="1"/>
  <c r="C97" i="2"/>
  <c r="C102" i="2" s="1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10" i="2"/>
  <c r="E110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C121" i="2"/>
  <c r="E121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G159" i="2" s="1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G162" i="2" s="1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G50" i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K256" i="1" s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G469" i="1"/>
  <c r="H469" i="1"/>
  <c r="I469" i="1"/>
  <c r="J469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H559" i="1"/>
  <c r="I559" i="1"/>
  <c r="J559" i="1"/>
  <c r="K559" i="1"/>
  <c r="K570" i="1" s="1"/>
  <c r="L561" i="1"/>
  <c r="L562" i="1"/>
  <c r="L563" i="1"/>
  <c r="F564" i="1"/>
  <c r="G564" i="1"/>
  <c r="H564" i="1"/>
  <c r="I564" i="1"/>
  <c r="I570" i="1" s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4" i="1" s="1"/>
  <c r="G647" i="1" s="1"/>
  <c r="K602" i="1"/>
  <c r="K603" i="1"/>
  <c r="H604" i="1"/>
  <c r="I604" i="1"/>
  <c r="J604" i="1"/>
  <c r="F613" i="1"/>
  <c r="G613" i="1"/>
  <c r="H613" i="1"/>
  <c r="I613" i="1"/>
  <c r="J613" i="1"/>
  <c r="K613" i="1"/>
  <c r="G616" i="1"/>
  <c r="G618" i="1"/>
  <c r="G619" i="1"/>
  <c r="G621" i="1"/>
  <c r="G622" i="1"/>
  <c r="G623" i="1"/>
  <c r="G624" i="1"/>
  <c r="H627" i="1"/>
  <c r="H628" i="1"/>
  <c r="H629" i="1"/>
  <c r="H630" i="1"/>
  <c r="H632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8" i="1"/>
  <c r="G651" i="1"/>
  <c r="H651" i="1"/>
  <c r="G652" i="1"/>
  <c r="H652" i="1"/>
  <c r="G653" i="1"/>
  <c r="H653" i="1"/>
  <c r="H654" i="1"/>
  <c r="F191" i="1"/>
  <c r="L255" i="1"/>
  <c r="F31" i="2"/>
  <c r="C26" i="10"/>
  <c r="E49" i="2"/>
  <c r="F102" i="2"/>
  <c r="D17" i="13"/>
  <c r="C17" i="13" s="1"/>
  <c r="G158" i="2"/>
  <c r="F61" i="2"/>
  <c r="F62" i="2" s="1"/>
  <c r="G156" i="2"/>
  <c r="G160" i="2"/>
  <c r="F90" i="2"/>
  <c r="L426" i="1"/>
  <c r="J640" i="1"/>
  <c r="J638" i="1"/>
  <c r="J570" i="1"/>
  <c r="L432" i="1"/>
  <c r="L418" i="1"/>
  <c r="I168" i="1"/>
  <c r="H168" i="1"/>
  <c r="J643" i="1"/>
  <c r="J642" i="1"/>
  <c r="J475" i="1"/>
  <c r="H625" i="1" s="1"/>
  <c r="H475" i="1"/>
  <c r="H623" i="1" s="1"/>
  <c r="J623" i="1" s="1"/>
  <c r="I475" i="1"/>
  <c r="H624" i="1" s="1"/>
  <c r="J624" i="1" s="1"/>
  <c r="G475" i="1"/>
  <c r="H622" i="1" s="1"/>
  <c r="G337" i="1"/>
  <c r="G351" i="1" s="1"/>
  <c r="F168" i="1"/>
  <c r="J139" i="1"/>
  <c r="F570" i="1"/>
  <c r="G22" i="2"/>
  <c r="C29" i="10"/>
  <c r="H139" i="1"/>
  <c r="L400" i="1"/>
  <c r="C138" i="2" s="1"/>
  <c r="L392" i="1"/>
  <c r="F22" i="13"/>
  <c r="H25" i="13"/>
  <c r="C25" i="13" s="1"/>
  <c r="J639" i="1"/>
  <c r="H570" i="1"/>
  <c r="G191" i="1"/>
  <c r="H191" i="1"/>
  <c r="C35" i="10"/>
  <c r="C49" i="2"/>
  <c r="J654" i="1"/>
  <c r="J644" i="1"/>
  <c r="L569" i="1"/>
  <c r="J635" i="1"/>
  <c r="G36" i="2"/>
  <c r="C22" i="13"/>
  <c r="C137" i="2"/>
  <c r="C21" i="10" l="1"/>
  <c r="C120" i="2"/>
  <c r="A40" i="12"/>
  <c r="A13" i="12"/>
  <c r="L613" i="1"/>
  <c r="K597" i="1"/>
  <c r="G646" i="1" s="1"/>
  <c r="J648" i="1"/>
  <c r="L564" i="1"/>
  <c r="L570" i="1" s="1"/>
  <c r="J544" i="1"/>
  <c r="L543" i="1"/>
  <c r="L538" i="1"/>
  <c r="H544" i="1"/>
  <c r="K549" i="1"/>
  <c r="G551" i="1"/>
  <c r="H551" i="1"/>
  <c r="K550" i="1"/>
  <c r="L533" i="1"/>
  <c r="I544" i="1"/>
  <c r="K544" i="1"/>
  <c r="G544" i="1"/>
  <c r="L528" i="1"/>
  <c r="G163" i="2"/>
  <c r="K502" i="1"/>
  <c r="G155" i="2"/>
  <c r="J633" i="1"/>
  <c r="D126" i="2"/>
  <c r="D127" i="2" s="1"/>
  <c r="D144" i="2" s="1"/>
  <c r="D29" i="13"/>
  <c r="C29" i="13" s="1"/>
  <c r="G660" i="1"/>
  <c r="F660" i="1"/>
  <c r="L361" i="1"/>
  <c r="G634" i="1" s="1"/>
  <c r="J634" i="1" s="1"/>
  <c r="L327" i="1"/>
  <c r="H337" i="1"/>
  <c r="H351" i="1" s="1"/>
  <c r="K351" i="1"/>
  <c r="E143" i="2"/>
  <c r="L308" i="1"/>
  <c r="F337" i="1"/>
  <c r="F351" i="1" s="1"/>
  <c r="C11" i="10"/>
  <c r="C17" i="10"/>
  <c r="L289" i="1"/>
  <c r="E109" i="2"/>
  <c r="E114" i="2" s="1"/>
  <c r="E127" i="2"/>
  <c r="H33" i="13"/>
  <c r="K270" i="1"/>
  <c r="J256" i="1"/>
  <c r="J270" i="1" s="1"/>
  <c r="C122" i="2"/>
  <c r="E13" i="13"/>
  <c r="C13" i="13" s="1"/>
  <c r="I256" i="1"/>
  <c r="I270" i="1" s="1"/>
  <c r="G661" i="1"/>
  <c r="H256" i="1"/>
  <c r="H270" i="1" s="1"/>
  <c r="C123" i="2"/>
  <c r="D15" i="13"/>
  <c r="C15" i="13" s="1"/>
  <c r="H646" i="1"/>
  <c r="G650" i="1"/>
  <c r="J650" i="1" s="1"/>
  <c r="H661" i="1"/>
  <c r="D14" i="13"/>
  <c r="C14" i="13" s="1"/>
  <c r="C15" i="10"/>
  <c r="G256" i="1"/>
  <c r="G270" i="1" s="1"/>
  <c r="E8" i="13"/>
  <c r="C8" i="13" s="1"/>
  <c r="C119" i="2"/>
  <c r="C20" i="10"/>
  <c r="L228" i="1"/>
  <c r="C111" i="2"/>
  <c r="D6" i="13"/>
  <c r="C6" i="13" s="1"/>
  <c r="L246" i="1"/>
  <c r="H659" i="1" s="1"/>
  <c r="C117" i="2"/>
  <c r="C108" i="2"/>
  <c r="C16" i="10"/>
  <c r="C109" i="2"/>
  <c r="C10" i="10"/>
  <c r="F256" i="1"/>
  <c r="F270" i="1" s="1"/>
  <c r="D12" i="13"/>
  <c r="C12" i="13" s="1"/>
  <c r="C18" i="10"/>
  <c r="C118" i="2"/>
  <c r="D7" i="13"/>
  <c r="C7" i="13" s="1"/>
  <c r="L210" i="1"/>
  <c r="F659" i="1" s="1"/>
  <c r="D5" i="13"/>
  <c r="C5" i="13" s="1"/>
  <c r="E61" i="2"/>
  <c r="E62" i="2" s="1"/>
  <c r="F111" i="1"/>
  <c r="C36" i="10" s="1"/>
  <c r="C62" i="2"/>
  <c r="C103" i="2" s="1"/>
  <c r="E50" i="2"/>
  <c r="E18" i="2"/>
  <c r="D31" i="2"/>
  <c r="J622" i="1"/>
  <c r="G51" i="1"/>
  <c r="H617" i="1" s="1"/>
  <c r="D18" i="2"/>
  <c r="C31" i="2"/>
  <c r="C50" i="2" s="1"/>
  <c r="F51" i="1"/>
  <c r="H616" i="1" s="1"/>
  <c r="J616" i="1" s="1"/>
  <c r="C18" i="2"/>
  <c r="C24" i="10"/>
  <c r="G31" i="13"/>
  <c r="G33" i="13" s="1"/>
  <c r="I337" i="1"/>
  <c r="I351" i="1" s="1"/>
  <c r="J649" i="1"/>
  <c r="L406" i="1"/>
  <c r="C139" i="2" s="1"/>
  <c r="C140" i="2" s="1"/>
  <c r="C143" i="2" s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J617" i="1"/>
  <c r="G42" i="2"/>
  <c r="J50" i="1"/>
  <c r="G16" i="2"/>
  <c r="J19" i="1"/>
  <c r="G620" i="1" s="1"/>
  <c r="G18" i="2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J651" i="1"/>
  <c r="J641" i="1"/>
  <c r="G570" i="1"/>
  <c r="I433" i="1"/>
  <c r="G433" i="1"/>
  <c r="I662" i="1"/>
  <c r="J646" i="1" l="1"/>
  <c r="C27" i="10"/>
  <c r="C28" i="10" s="1"/>
  <c r="D23" i="10" s="1"/>
  <c r="I660" i="1"/>
  <c r="L337" i="1"/>
  <c r="L351" i="1" s="1"/>
  <c r="G632" i="1" s="1"/>
  <c r="J632" i="1" s="1"/>
  <c r="G659" i="1"/>
  <c r="I659" i="1" s="1"/>
  <c r="E144" i="2"/>
  <c r="H647" i="1"/>
  <c r="J647" i="1" s="1"/>
  <c r="I661" i="1"/>
  <c r="H663" i="1"/>
  <c r="H671" i="1" s="1"/>
  <c r="C6" i="10" s="1"/>
  <c r="E33" i="13"/>
  <c r="D35" i="13" s="1"/>
  <c r="C127" i="2"/>
  <c r="C114" i="2"/>
  <c r="F663" i="1"/>
  <c r="F671" i="1" s="1"/>
  <c r="C4" i="10" s="1"/>
  <c r="L256" i="1"/>
  <c r="L270" i="1" s="1"/>
  <c r="F471" i="1" s="1"/>
  <c r="E103" i="2"/>
  <c r="F192" i="1"/>
  <c r="D31" i="13"/>
  <c r="C31" i="13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G663" i="1" l="1"/>
  <c r="G671" i="1" s="1"/>
  <c r="C5" i="10" s="1"/>
  <c r="I663" i="1"/>
  <c r="I671" i="1" s="1"/>
  <c r="C7" i="10" s="1"/>
  <c r="G626" i="1"/>
  <c r="F467" i="1"/>
  <c r="G631" i="1"/>
  <c r="H666" i="1"/>
  <c r="C144" i="2"/>
  <c r="D20" i="10"/>
  <c r="D13" i="10"/>
  <c r="D25" i="10"/>
  <c r="D21" i="10"/>
  <c r="D15" i="10"/>
  <c r="D19" i="10"/>
  <c r="D11" i="10"/>
  <c r="D22" i="10"/>
  <c r="D27" i="10"/>
  <c r="D18" i="10"/>
  <c r="D17" i="10"/>
  <c r="D12" i="10"/>
  <c r="D24" i="10"/>
  <c r="D10" i="10"/>
  <c r="D26" i="10"/>
  <c r="C30" i="10"/>
  <c r="D16" i="10"/>
  <c r="F666" i="1"/>
  <c r="D33" i="13"/>
  <c r="D36" i="13" s="1"/>
  <c r="C41" i="10"/>
  <c r="D38" i="10" s="1"/>
  <c r="G666" i="1" l="1"/>
  <c r="I666" i="1"/>
  <c r="F469" i="1"/>
  <c r="H626" i="1"/>
  <c r="J626" i="1"/>
  <c r="F473" i="1"/>
  <c r="F475" i="1" s="1"/>
  <c r="H621" i="1" s="1"/>
  <c r="H631" i="1"/>
  <c r="J631" i="1" s="1"/>
  <c r="D28" i="10"/>
  <c r="D37" i="10"/>
  <c r="D36" i="10"/>
  <c r="D35" i="10"/>
  <c r="D40" i="10"/>
  <c r="D39" i="10"/>
  <c r="J621" i="1" l="1"/>
  <c r="H655" i="1"/>
  <c r="D41" i="10"/>
  <c r="L520" i="1"/>
  <c r="L523" i="1" s="1"/>
  <c r="L544" i="1" s="1"/>
  <c r="F523" i="1"/>
  <c r="F544" i="1" s="1"/>
  <c r="F548" i="1" l="1"/>
  <c r="F551" i="1" s="1"/>
  <c r="K548" i="1" l="1"/>
  <c r="K551" i="1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<sst xmlns="http://schemas.openxmlformats.org/spreadsheetml/2006/main" count="3948" uniqueCount="914">
  <si>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</si>
  <si>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</si>
  <si>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</si>
  <si>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</si>
  <si>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</si>
  <si>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</si>
  <si>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</si>
  <si>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</si>
  <si>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</si>
  <si>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</si>
  <si>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</si>
  <si>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</si>
  <si>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</si>
  <si>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</si>
  <si>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</si>
  <si>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</si>
  <si>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</si>
  <si>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</si>
  <si>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</si>
  <si>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</si>
  <si>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</si>
  <si>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</si>
  <si>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</si>
  <si>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</si>
  <si>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</si>
  <si>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</si>
  <si>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</si>
  <si>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</si>
  <si>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</si>
  <si>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</si>
  <si>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</si>
  <si>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</si>
  <si>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</si>
  <si>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</si>
  <si>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</si>
  <si>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</si>
  <si>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</si>
  <si>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</si>
  <si>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</si>
  <si>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</si>
  <si>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</si>
  <si>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</si>
  <si>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</si>
  <si>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</si>
  <si>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</si>
  <si>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</si>
  <si>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</si>
  <si>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</si>
  <si>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</si>
  <si>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</si>
  <si>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</si>
  <si>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</si>
  <si>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</si>
  <si>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</si>
  <si>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</si>
  <si>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</si>
  <si>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</si>
  <si>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</si>
  <si>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</si>
  <si>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</si>
  <si>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</si>
  <si>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</si>
  <si>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</si>
  <si>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</si>
  <si>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</si>
  <si>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</si>
  <si>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</si>
  <si>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</si>
  <si>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</si>
  <si>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</si>
  <si>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</si>
  <si>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</si>
  <si>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</si>
  <si>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</si>
  <si>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</si>
  <si>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</si>
  <si>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</si>
  <si>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</si>
  <si>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</si>
  <si>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</si>
  <si>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</si>
  <si>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</si>
  <si>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</si>
  <si>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</si>
  <si>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</si>
  <si>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</si>
  <si>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</si>
  <si>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</si>
  <si>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</si>
  <si>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</si>
  <si>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</si>
  <si>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</si>
  <si>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</si>
  <si>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</si>
  <si>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</si>
  <si>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</si>
  <si>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</si>
  <si>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</si>
  <si>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</si>
  <si>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</si>
  <si>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</si>
  <si>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</si>
  <si>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</si>
  <si>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</si>
  <si>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</si>
  <si>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</si>
  <si>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</si>
  <si>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</si>
  <si>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</si>
  <si>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</si>
  <si>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</si>
  <si>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</si>
  <si>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</si>
  <si>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</si>
  <si>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</si>
  <si>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</si>
  <si>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</si>
  <si>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</si>
  <si>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</si>
  <si>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</si>
  <si>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</si>
  <si>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</si>
  <si>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</si>
  <si>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</si>
  <si>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</si>
  <si>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</si>
  <si>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</si>
  <si>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</si>
  <si>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</si>
  <si>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</si>
  <si>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</si>
  <si>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</si>
  <si>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</si>
  <si>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</si>
  <si>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</si>
  <si>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</si>
  <si>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</si>
  <si>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</si>
  <si>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</si>
  <si>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</si>
  <si>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</si>
  <si>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</si>
  <si>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</si>
  <si>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</si>
  <si>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</si>
  <si>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</si>
  <si>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</si>
  <si>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</si>
  <si>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</si>
  <si>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</si>
  <si>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</si>
  <si>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</si>
  <si>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</si>
  <si>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</si>
  <si>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</si>
  <si>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</si>
  <si>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</si>
  <si>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</si>
  <si>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</si>
  <si>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</si>
  <si>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</si>
  <si>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</si>
  <si>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</si>
  <si>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</si>
  <si>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</si>
  <si>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</si>
  <si>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</si>
  <si>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</si>
  <si>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</si>
  <si>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</si>
  <si>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</si>
  <si>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</si>
  <si>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</si>
  <si>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</si>
  <si>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</si>
  <si>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</si>
  <si>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</si>
  <si>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</si>
  <si>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</si>
  <si>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</si>
  <si>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</si>
  <si>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</si>
  <si>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</si>
  <si>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</si>
  <si>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</si>
  <si>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</si>
  <si>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</si>
  <si>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</si>
  <si>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</si>
  <si>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</si>
  <si>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</si>
  <si>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</si>
  <si>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</si>
  <si>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</si>
  <si>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</si>
  <si>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</si>
  <si>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</si>
  <si>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</si>
  <si>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</si>
  <si>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</si>
  <si>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</si>
  <si>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</si>
  <si>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</si>
  <si>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</si>
  <si>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</si>
  <si>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</si>
  <si>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</si>
  <si>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</si>
  <si>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</si>
  <si>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</si>
  <si>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</si>
  <si>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</si>
  <si>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</si>
  <si>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</si>
  <si>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</si>
  <si>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</si>
  <si>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</si>
  <si>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</si>
  <si>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</si>
  <si>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</si>
  <si>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</si>
  <si>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</si>
  <si>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</si>
  <si>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</si>
  <si>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</si>
  <si>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</si>
  <si>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</si>
  <si>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</si>
  <si>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</si>
  <si>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</si>
  <si>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</si>
  <si>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</si>
  <si>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</si>
  <si>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</si>
  <si>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</si>
  <si>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</si>
  <si>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</si>
  <si>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</si>
  <si>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</si>
  <si>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</si>
  <si>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</si>
  <si>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</si>
  <si>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</si>
  <si>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</si>
  <si>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</si>
  <si>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</si>
  <si>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</si>
  <si>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</si>
  <si>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</si>
  <si>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</si>
  <si>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</si>
  <si>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</si>
  <si>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</si>
  <si>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</si>
  <si>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</si>
  <si>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</si>
  <si>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</si>
  <si>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</si>
  <si>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</si>
  <si>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</si>
  <si>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</si>
  <si>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</si>
  <si>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</si>
  <si>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</si>
  <si>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</si>
  <si>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</si>
  <si>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</si>
  <si>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</si>
  <si>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</si>
  <si>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</si>
  <si>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</si>
  <si>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</si>
  <si>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</si>
  <si>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</si>
  <si>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</si>
  <si>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</si>
  <si>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</si>
  <si>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</si>
  <si>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</si>
  <si>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</si>
  <si>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</si>
  <si>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</si>
  <si>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</si>
  <si>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</si>
  <si>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</si>
  <si>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</si>
  <si>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</si>
  <si>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</si>
  <si>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</si>
  <si>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</si>
  <si>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</si>
  <si>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</si>
  <si>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</si>
  <si>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</si>
  <si>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</si>
  <si>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</si>
  <si>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</si>
  <si>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</si>
  <si>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</si>
  <si>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</si>
  <si>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</si>
  <si>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</si>
  <si>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</si>
  <si>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</si>
  <si>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</si>
  <si>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</si>
  <si>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</si>
  <si>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</si>
  <si>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</si>
  <si>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</si>
  <si>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</si>
  <si>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</si>
  <si>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</si>
  <si>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</si>
  <si>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</si>
  <si>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</si>
  <si>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</si>
  <si>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</si>
  <si>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</si>
  <si>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</si>
  <si>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</si>
  <si>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</si>
  <si>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</si>
  <si>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</si>
  <si>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</si>
  <si>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</si>
  <si>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</si>
  <si>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</si>
  <si>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</si>
  <si>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</si>
  <si>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</si>
  <si>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</si>
  <si>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</si>
  <si>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</si>
  <si>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</si>
  <si>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</si>
  <si>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</si>
  <si>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</si>
  <si>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</si>
  <si>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</si>
  <si>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</si>
  <si>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</si>
  <si>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</si>
  <si>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</si>
  <si>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</si>
  <si>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</si>
  <si>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</si>
  <si>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</si>
  <si>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</si>
  <si>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</si>
  <si>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</si>
  <si>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</si>
  <si>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</si>
  <si>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</si>
  <si>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</si>
  <si>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</si>
  <si>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</si>
  <si>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</si>
  <si>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</si>
  <si>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</si>
  <si>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</si>
  <si>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</si>
  <si>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</si>
  <si>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</si>
  <si>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</si>
  <si>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</si>
  <si>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</si>
  <si>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</si>
  <si>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</si>
  <si>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</si>
  <si>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</si>
  <si>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</si>
  <si>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</si>
  <si>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</si>
  <si>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</si>
  <si>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</si>
  <si>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</si>
  <si>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</si>
  <si>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</si>
  <si>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</si>
  <si>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</si>
  <si>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</si>
  <si>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</si>
  <si>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</si>
  <si>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</si>
  <si>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</si>
  <si>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</si>
  <si>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</si>
  <si>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</si>
  <si>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</si>
  <si>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</si>
  <si>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</si>
  <si>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</si>
  <si>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</si>
  <si>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</si>
  <si>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</si>
  <si>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</si>
  <si>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</si>
  <si>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</si>
  <si>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</si>
  <si>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</si>
  <si>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</si>
  <si>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</si>
  <si>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</si>
  <si>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</si>
  <si>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</si>
  <si>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</si>
  <si>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</si>
  <si>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</si>
  <si>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</si>
  <si>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</si>
  <si>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</si>
  <si>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</si>
  <si>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</si>
  <si>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</si>
  <si>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</si>
  <si>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</si>
  <si>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</si>
  <si>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</si>
  <si>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</si>
  <si>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</si>
  <si>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</si>
  <si>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</si>
  <si>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</si>
  <si>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</si>
  <si>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</si>
  <si>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</si>
  <si>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</si>
  <si>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</si>
  <si>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</si>
  <si>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</si>
  <si>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</si>
  <si>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</si>
  <si>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</si>
  <si>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</si>
  <si>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</si>
  <si>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</si>
  <si>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</si>
  <si>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</si>
  <si>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</si>
  <si>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</si>
  <si>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</si>
  <si>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</si>
  <si>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</si>
  <si>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</si>
  <si>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</si>
  <si>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</si>
  <si>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</si>
  <si>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</si>
  <si>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</si>
  <si>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</si>
  <si>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</si>
  <si>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</si>
  <si>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</si>
  <si>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</si>
  <si>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</si>
  <si>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</si>
  <si>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</si>
  <si>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</si>
  <si>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</si>
  <si>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</si>
  <si>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</si>
  <si>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</si>
  <si>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</si>
  <si>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</si>
  <si>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</si>
  <si>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</si>
  <si>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</si>
  <si>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</si>
  <si>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</si>
  <si>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</si>
  <si>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</si>
  <si>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</si>
  <si>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</si>
  <si>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</si>
  <si>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</si>
  <si>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</si>
  <si>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</si>
  <si>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</si>
  <si>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</si>
  <si>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</si>
  <si>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</si>
  <si>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</si>
  <si>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</si>
  <si>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</si>
  <si>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</si>
  <si>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</si>
  <si>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</si>
  <si>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</si>
  <si>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</si>
  <si>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</si>
  <si>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</si>
  <si>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</si>
  <si>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</si>
  <si>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</si>
  <si>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</si>
  <si>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</si>
  <si>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</si>
  <si>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</si>
  <si>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</si>
  <si>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</si>
  <si>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</si>
  <si>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</si>
  <si>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</si>
  <si>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</si>
  <si>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</si>
  <si>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</si>
  <si>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</si>
  <si>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</si>
  <si>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</si>
  <si>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</si>
  <si>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</si>
  <si>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</si>
  <si>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</si>
  <si>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</si>
  <si>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</si>
  <si>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</si>
  <si>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</si>
  <si>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</si>
  <si>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</si>
  <si>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</si>
  <si>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</si>
  <si>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</si>
  <si>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</si>
  <si>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</si>
  <si>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</si>
  <si>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</si>
  <si>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</si>
  <si>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</si>
  <si>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</si>
  <si>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</si>
  <si>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</si>
  <si>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</si>
  <si>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</si>
  <si>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</si>
  <si>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</si>
  <si>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</si>
  <si>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</si>
  <si>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</si>
  <si>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</si>
  <si>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</si>
  <si>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</si>
  <si>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</si>
  <si>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</si>
  <si>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</si>
  <si>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</si>
  <si>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</si>
  <si>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</si>
  <si>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</si>
  <si>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</si>
  <si>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</si>
  <si>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</si>
  <si>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</si>
  <si>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</si>
  <si>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</si>
  <si>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</si>
  <si>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</si>
  <si>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</si>
  <si>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</si>
  <si>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</si>
  <si>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</si>
  <si>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</si>
  <si>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</si>
  <si>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</si>
  <si>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</si>
  <si>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</si>
  <si>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</si>
  <si>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</si>
  <si>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</si>
  <si>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</si>
  <si>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</si>
  <si>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</si>
  <si>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</si>
  <si>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</si>
  <si>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</si>
  <si>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</si>
  <si>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</si>
  <si>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</si>
  <si>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</si>
  <si>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</si>
  <si>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</si>
  <si>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</si>
  <si>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</si>
  <si>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</si>
  <si>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</si>
  <si>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</si>
  <si>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</si>
  <si>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</si>
  <si>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</si>
  <si>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</si>
  <si>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</si>
  <si>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</si>
  <si>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</si>
  <si>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</si>
  <si>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</si>
  <si>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</si>
  <si>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</si>
  <si>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</si>
  <si>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</si>
  <si>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</si>
  <si>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</si>
  <si>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</si>
  <si>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</si>
  <si>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</si>
  <si>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</si>
  <si>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</si>
  <si>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</si>
  <si>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</si>
  <si>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</si>
  <si>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</si>
  <si>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</si>
  <si>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</si>
  <si>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</si>
  <si>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</si>
  <si>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</si>
  <si>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</si>
  <si>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</si>
  <si>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</si>
  <si>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</si>
  <si>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</si>
  <si>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</si>
  <si>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</si>
  <si>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</si>
  <si>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</si>
  <si>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</si>
  <si>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</si>
  <si>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</si>
  <si>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</si>
  <si>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</si>
  <si>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</si>
  <si>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</si>
  <si>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</si>
  <si>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</si>
  <si>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</si>
  <si>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</si>
  <si>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</si>
  <si>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</si>
  <si>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</si>
  <si>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</si>
  <si>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</si>
  <si>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</si>
  <si>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</si>
  <si>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</si>
  <si>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</si>
  <si>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</si>
  <si>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</si>
  <si>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</si>
  <si>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</si>
  <si>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</si>
  <si>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</si>
  <si>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</si>
  <si>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</si>
  <si>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</si>
  <si>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</si>
  <si>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</si>
  <si>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</si>
  <si>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</si>
  <si>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</si>
  <si>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</si>
  <si>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</si>
  <si>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</si>
  <si>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</si>
  <si>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</si>
  <si>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</si>
  <si>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</si>
  <si>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</si>
  <si>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</si>
  <si>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</si>
  <si>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</si>
  <si>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</si>
  <si>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</si>
  <si>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</si>
  <si>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</si>
  <si>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</si>
  <si>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</si>
  <si>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</si>
  <si>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</si>
  <si>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</si>
  <si>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</si>
  <si>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</si>
  <si>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</si>
  <si>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</si>
  <si>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</si>
  <si>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</si>
  <si>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</si>
  <si>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</si>
  <si>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</si>
  <si>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</si>
  <si>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</si>
  <si>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</si>
  <si>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</si>
  <si>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</si>
  <si>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</si>
  <si>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</si>
  <si>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</si>
  <si>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</si>
  <si>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</si>
  <si>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</si>
  <si>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</si>
  <si>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</si>
  <si>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</si>
  <si>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</si>
  <si>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</si>
  <si>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</si>
  <si>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</si>
  <si>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</si>
  <si>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</si>
  <si>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</si>
  <si>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</si>
  <si>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</si>
  <si>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</si>
  <si>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</si>
  <si>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</si>
  <si>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</si>
  <si>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</si>
  <si>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</si>
  <si>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</si>
  <si>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</si>
  <si>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</si>
  <si>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</si>
  <si>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</si>
  <si>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</si>
  <si>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</si>
  <si>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</si>
  <si>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</si>
  <si>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</si>
  <si>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</si>
  <si>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</si>
  <si>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</si>
  <si>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</si>
  <si>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</si>
  <si>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</si>
  <si>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</si>
  <si>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</si>
  <si>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</si>
  <si>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</si>
  <si>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</si>
  <si>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</si>
  <si>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</si>
  <si>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</si>
  <si>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</si>
  <si>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</si>
  <si>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</si>
  <si>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</si>
  <si>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</si>
  <si>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</si>
  <si>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</si>
  <si>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</si>
  <si>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</si>
  <si>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</si>
  <si>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</si>
  <si>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</si>
  <si>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</si>
  <si>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</si>
  <si>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</si>
  <si>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</si>
  <si>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</si>
  <si>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</si>
  <si>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</si>
  <si>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</si>
  <si>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</si>
  <si>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</si>
  <si>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</si>
  <si>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</si>
  <si>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</si>
  <si>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</si>
  <si>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</si>
  <si>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</si>
  <si>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</si>
  <si>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</si>
  <si>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</si>
  <si>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</si>
  <si>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</si>
  <si>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</si>
  <si>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</si>
  <si>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</si>
  <si>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</si>
  <si>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</si>
  <si>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</si>
  <si>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</si>
  <si>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</si>
  <si>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</si>
  <si>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</si>
  <si>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</si>
  <si>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</si>
  <si>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</si>
  <si>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</si>
  <si>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</si>
  <si>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</si>
  <si>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</si>
  <si>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</si>
  <si>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</si>
  <si>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</si>
  <si>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</si>
  <si>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</si>
  <si>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</si>
  <si>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</si>
  <si>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</si>
  <si>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</si>
  <si>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</si>
  <si>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</si>
  <si>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</si>
  <si>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</si>
  <si>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</si>
  <si>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</si>
  <si>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</si>
  <si>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</si>
  <si>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</si>
  <si>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</si>
  <si>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</si>
  <si>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</si>
  <si>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</si>
  <si>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</si>
  <si>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</si>
  <si>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</si>
  <si>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</si>
  <si>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</si>
  <si>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</si>
  <si>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</si>
  <si>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</si>
  <si>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</si>
  <si>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</si>
  <si>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</si>
  <si>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</si>
  <si>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</si>
  <si>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</si>
  <si>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</si>
  <si>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</si>
  <si>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</si>
  <si>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</si>
  <si>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</si>
  <si>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</si>
  <si>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</si>
  <si>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</si>
  <si>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</si>
  <si>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</si>
  <si>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</si>
  <si>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</si>
  <si>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</si>
  <si>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</si>
  <si>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</si>
  <si>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</si>
  <si>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</si>
  <si>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</si>
  <si>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</si>
  <si>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</si>
  <si>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</si>
  <si>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</si>
  <si>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</si>
  <si>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</si>
  <si>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</si>
  <si>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</si>
  <si>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</si>
  <si>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</si>
  <si>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</si>
  <si>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</si>
  <si>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</si>
  <si>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</si>
  <si>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</si>
  <si>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</si>
  <si>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</si>
  <si>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</si>
  <si>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</si>
  <si>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</si>
  <si>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</si>
  <si>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</si>
  <si>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</si>
  <si>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</si>
  <si>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</si>
  <si>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</si>
  <si>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</si>
  <si>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</si>
  <si>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</si>
  <si>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</si>
  <si>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</si>
  <si>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</si>
  <si>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</si>
  <si>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</si>
  <si>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</si>
  <si>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</si>
  <si>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</si>
  <si>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</si>
  <si>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</si>
  <si>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</si>
  <si>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</si>
  <si>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</si>
  <si>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</si>
  <si>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</si>
  <si>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</si>
  <si>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</si>
  <si>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</si>
  <si>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</si>
  <si>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</si>
  <si>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</si>
  <si>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</si>
  <si>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</si>
  <si>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</si>
  <si>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</si>
  <si>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</si>
  <si>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</si>
  <si>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</si>
  <si>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</si>
  <si>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</si>
  <si>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</si>
  <si>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</si>
  <si>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</si>
  <si>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</si>
  <si>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</si>
  <si>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</si>
  <si>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 xml:space="preserve">    to capital reserve account</t>
  </si>
  <si>
    <t xml:space="preserve">          2012 accounts payable not paid</t>
  </si>
  <si>
    <t>08/15/2005</t>
  </si>
  <si>
    <t>08/15/2025</t>
  </si>
  <si>
    <t>Epping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</si>
</sst>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165</v>
      </c>
      <c r="C2" s="21">
        <v>165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765551.28+200</f>
        <v>765751.28</v>
      </c>
      <c r="G9" s="18">
        <v>70703.69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65613.98+17156.07</f>
        <v>82770.049999999988</v>
      </c>
      <c r="G12" s="18"/>
      <c r="H12" s="18">
        <v>1497.08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61620.13</v>
      </c>
      <c r="G13" s="18">
        <v>32109.82</v>
      </c>
      <c r="H13" s="18">
        <v>81957.87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300</v>
      </c>
      <c r="G14" s="18">
        <v>314.5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43838.23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954279.69000000006</v>
      </c>
      <c r="G19" s="41">
        <f>SUM(G9:G18)</f>
        <v>103128.01000000001</v>
      </c>
      <c r="H19" s="41">
        <f>SUM(H9:H18)</f>
        <v>83454.95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1497.08</v>
      </c>
      <c r="G22" s="18">
        <v>17156.07</v>
      </c>
      <c r="H22" s="18">
        <v>65613.98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141021.29+42094.72</f>
        <v>183116.01</v>
      </c>
      <c r="G24" s="18">
        <v>301.14999999999998</v>
      </c>
      <c r="H24" s="18">
        <f>10507.58+90.97</f>
        <v>10598.55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87214.26+3074.01+6482.63+284511.8+15804.66</f>
        <v>397087.35999999993</v>
      </c>
      <c r="G28" s="18">
        <v>5241.2</v>
      </c>
      <c r="H28" s="18">
        <v>5836.31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160703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742403.45</v>
      </c>
      <c r="G32" s="41">
        <f>SUM(G22:G31)</f>
        <v>22698.420000000002</v>
      </c>
      <c r="H32" s="41">
        <f>SUM(H22:H31)</f>
        <v>82048.84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f>50894.25+29535.34</f>
        <v>80429.59</v>
      </c>
      <c r="H47" s="18">
        <f>1406.11</f>
        <v>1406.11</v>
      </c>
      <c r="I47" s="18"/>
      <c r="J47" s="13">
        <f>SUM(I458)</f>
        <v>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4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533223.08-371346.84</f>
        <v>161876.23999999993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211876.23999999993</v>
      </c>
      <c r="G50" s="41">
        <f>SUM(G35:G49)</f>
        <v>80429.59</v>
      </c>
      <c r="H50" s="41">
        <f>SUM(H35:H49)</f>
        <v>1406.11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954279.69</v>
      </c>
      <c r="G51" s="41">
        <f>G50+G32</f>
        <v>103128.01</v>
      </c>
      <c r="H51" s="41">
        <f>H50+H32</f>
        <v>83454.95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10156807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10156807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68700+15155</f>
        <v>83855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865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15235.91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99955.91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>
        <v>115.15</v>
      </c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58163.24+88002.51+9709.55+60244.39</f>
        <v>216119.69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8000.04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1200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146.13999999999999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7500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11157.21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90198.22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117001.61</v>
      </c>
      <c r="G110" s="41">
        <f>SUM(G95:G109)</f>
        <v>216234.84</v>
      </c>
      <c r="H110" s="41">
        <f>SUM(H95:H109)</f>
        <v>1200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10373764.52</v>
      </c>
      <c r="G111" s="41">
        <f>G59+G110</f>
        <v>216234.84</v>
      </c>
      <c r="H111" s="41">
        <f>H59+H78+H93+H110</f>
        <v>1200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3138805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1483023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4621828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211874.6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31752.78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8144.52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3761.37+569.16</f>
        <v>4330.53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4992.6400000000003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256764.54</v>
      </c>
      <c r="G135" s="41">
        <f>SUM(G122:G134)</f>
        <v>4330.53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4878592.54</v>
      </c>
      <c r="G139" s="41">
        <f>G120+SUM(G135:G136)</f>
        <v>4330.53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135021.89</f>
        <v>135021.89000000001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54376.99+18873.96</f>
        <v>73250.95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116230.59+24512.24+66.87</f>
        <v>140809.69999999998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254776.44+7870.91</f>
        <v>262647.34999999998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126486.93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f>16949.6+500</f>
        <v>17449.599999999999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126486.93</v>
      </c>
      <c r="G161" s="41">
        <f>SUM(G149:G160)</f>
        <v>158259.29999999999</v>
      </c>
      <c r="H161" s="41">
        <f>SUM(H149:H160)</f>
        <v>470920.19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126486.93</v>
      </c>
      <c r="G168" s="41">
        <f>G146+G161+SUM(G162:G167)</f>
        <v>158259.29999999999</v>
      </c>
      <c r="H168" s="41">
        <f>H146+H161+SUM(H162:H167)</f>
        <v>470920.19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17339.23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17339.23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17339.23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15396183.219999999</v>
      </c>
      <c r="G192" s="47">
        <f>G111+G139+G168+G191</f>
        <v>378824.67</v>
      </c>
      <c r="H192" s="47">
        <f>H111+H139+H168+H191</f>
        <v>472120.19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1393472.34+1575+268283.37</f>
        <v>1663330.71</v>
      </c>
      <c r="G196" s="18">
        <f>612173.88+120588.12+16427.86-28092.83</f>
        <v>721097.03</v>
      </c>
      <c r="H196" s="18">
        <f>186.9</f>
        <v>186.9</v>
      </c>
      <c r="I196" s="18">
        <f>86610.95+5465.1</f>
        <v>92076.05</v>
      </c>
      <c r="J196" s="18">
        <v>3815</v>
      </c>
      <c r="K196" s="18"/>
      <c r="L196" s="19">
        <f>SUM(F196:K196)</f>
        <v>2480505.69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551670.54+128839.13+4000+95527.19</f>
        <v>780036.8600000001</v>
      </c>
      <c r="G197" s="18">
        <f>233909.01+78961.75+12505.01+7704.53-3992</f>
        <v>329088.30000000005</v>
      </c>
      <c r="H197" s="18">
        <f>372+80060.98</f>
        <v>80432.98</v>
      </c>
      <c r="I197" s="18">
        <f>8145.26+3040.61+136.86</f>
        <v>11322.730000000001</v>
      </c>
      <c r="J197" s="18">
        <v>1735.91</v>
      </c>
      <c r="K197" s="18"/>
      <c r="L197" s="19">
        <f>SUM(F197:K197)</f>
        <v>1202616.78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17450</v>
      </c>
      <c r="G199" s="18">
        <f>2058.69</f>
        <v>2058.69</v>
      </c>
      <c r="H199" s="18">
        <f>4725.5</f>
        <v>4725.5</v>
      </c>
      <c r="I199" s="18">
        <f>1354.24</f>
        <v>1354.24</v>
      </c>
      <c r="J199" s="18"/>
      <c r="K199" s="18"/>
      <c r="L199" s="19">
        <f>SUM(F199:K199)</f>
        <v>25588.43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82372+78771.92+59123.4+58345+82473.72</f>
        <v>361086.03999999992</v>
      </c>
      <c r="G201" s="18">
        <f>25842.26+29796.96+46239.71+19504.59+35192.01+3566.02</f>
        <v>160141.54999999999</v>
      </c>
      <c r="H201" s="18">
        <f>5079.42+28061.26+10790.91+11450+17850.78+5221.92</f>
        <v>78454.289999999994</v>
      </c>
      <c r="I201" s="18">
        <f>1861.33+2040.79+3190.59+2700+2148.88</f>
        <v>11941.59</v>
      </c>
      <c r="J201" s="18">
        <f>200+734.95+477.42+3509.1</f>
        <v>4921.47</v>
      </c>
      <c r="K201" s="18"/>
      <c r="L201" s="19">
        <f t="shared" ref="L201:L207" si="0">SUM(F201:K201)</f>
        <v>616544.93999999983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17202.96+57126+96128.94</f>
        <v>170457.9</v>
      </c>
      <c r="G202" s="18">
        <f>7061.04+21979.16+82910.66+1683.24</f>
        <v>113634.1</v>
      </c>
      <c r="H202" s="18">
        <f>22133.84</f>
        <v>22133.84</v>
      </c>
      <c r="I202" s="18">
        <f>8461.72+38946.16-8530.08</f>
        <v>38877.800000000003</v>
      </c>
      <c r="J202" s="18">
        <f>1550+53982.68</f>
        <v>55532.68</v>
      </c>
      <c r="K202" s="18">
        <v>25</v>
      </c>
      <c r="L202" s="19">
        <f t="shared" si="0"/>
        <v>400661.32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225554.9</f>
        <v>225554.9</v>
      </c>
      <c r="G203" s="18">
        <f>97766.02+2227.72</f>
        <v>99993.74</v>
      </c>
      <c r="H203" s="18">
        <f>34796.89</f>
        <v>34796.89</v>
      </c>
      <c r="I203" s="18">
        <v>8530.08</v>
      </c>
      <c r="J203" s="18"/>
      <c r="K203" s="18">
        <v>12382.27</v>
      </c>
      <c r="L203" s="19">
        <f t="shared" si="0"/>
        <v>381257.88000000006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256208.29</f>
        <v>256208.29</v>
      </c>
      <c r="G204" s="18">
        <f>128518.67+2530.44</f>
        <v>131049.11</v>
      </c>
      <c r="H204" s="18">
        <f>23892.48</f>
        <v>23892.48</v>
      </c>
      <c r="I204" s="18">
        <f>4186.78</f>
        <v>4186.78</v>
      </c>
      <c r="J204" s="18">
        <f>1550</f>
        <v>1550</v>
      </c>
      <c r="K204" s="18">
        <v>1723</v>
      </c>
      <c r="L204" s="19">
        <f t="shared" si="0"/>
        <v>418609.66000000003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123443.07+76007.51</f>
        <v>199450.58000000002</v>
      </c>
      <c r="G206" s="18">
        <f>59878.63+28822.56+1969.87</f>
        <v>90671.06</v>
      </c>
      <c r="H206" s="18">
        <f>159470.45</f>
        <v>159470.45000000001</v>
      </c>
      <c r="I206" s="18">
        <v>245816.43</v>
      </c>
      <c r="J206" s="18">
        <v>14300.89</v>
      </c>
      <c r="K206" s="18"/>
      <c r="L206" s="19">
        <f t="shared" si="0"/>
        <v>709709.41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215455.43+33468-47773</f>
        <v>201150.43</v>
      </c>
      <c r="I207" s="18"/>
      <c r="J207" s="18"/>
      <c r="K207" s="18"/>
      <c r="L207" s="19">
        <f t="shared" si="0"/>
        <v>201150.43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3673575.2800000003</v>
      </c>
      <c r="G210" s="41">
        <f t="shared" si="1"/>
        <v>1647733.5800000003</v>
      </c>
      <c r="H210" s="41">
        <f t="shared" si="1"/>
        <v>605243.76</v>
      </c>
      <c r="I210" s="41">
        <f t="shared" si="1"/>
        <v>414105.69999999995</v>
      </c>
      <c r="J210" s="41">
        <f t="shared" si="1"/>
        <v>81855.95</v>
      </c>
      <c r="K210" s="41">
        <f t="shared" si="1"/>
        <v>14130.27</v>
      </c>
      <c r="L210" s="41">
        <f t="shared" si="1"/>
        <v>6436644.54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937805.4+225+16650</f>
        <v>954680.4</v>
      </c>
      <c r="G214" s="18">
        <f>381219.91+8180.81-12892.3</f>
        <v>376508.42</v>
      </c>
      <c r="H214" s="18">
        <f>2680.77</f>
        <v>2680.77</v>
      </c>
      <c r="I214" s="18">
        <f>30930.95</f>
        <v>30930.95</v>
      </c>
      <c r="J214" s="18">
        <v>4544.71</v>
      </c>
      <c r="K214" s="18"/>
      <c r="L214" s="19">
        <f>SUM(F214:K214)</f>
        <v>1369345.25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331288.82+23395.42</f>
        <v>354684.24</v>
      </c>
      <c r="G215" s="18">
        <f>142863.62+3363.68+5738.77-1832</f>
        <v>150134.06999999998</v>
      </c>
      <c r="H215" s="18">
        <f>225+77840.73</f>
        <v>78065.73</v>
      </c>
      <c r="I215" s="18">
        <f>2987.56</f>
        <v>2987.56</v>
      </c>
      <c r="J215" s="18">
        <v>850</v>
      </c>
      <c r="K215" s="18"/>
      <c r="L215" s="19">
        <f>SUM(F215:K215)</f>
        <v>586721.6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32104.75+21693.29</f>
        <v>53798.04</v>
      </c>
      <c r="G217" s="18">
        <f>4585.79+4913.85+461</f>
        <v>9960.64</v>
      </c>
      <c r="H217" s="18">
        <f>11697.69</f>
        <v>11697.69</v>
      </c>
      <c r="I217" s="18">
        <f>2527.73</f>
        <v>2527.73</v>
      </c>
      <c r="J217" s="18">
        <v>7958.46</v>
      </c>
      <c r="K217" s="18">
        <v>700</v>
      </c>
      <c r="L217" s="19">
        <f>SUM(F217:K217)</f>
        <v>86642.559999999998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23212+63809.59+37848.66</f>
        <v>124870.25</v>
      </c>
      <c r="G219" s="18">
        <f>9056.96+25991.36+745.7+16150.24</f>
        <v>51944.259999999995</v>
      </c>
      <c r="H219" s="18">
        <f>2539.71+12877.82+541.88+8192.04+815.33</f>
        <v>24966.78</v>
      </c>
      <c r="I219" s="18">
        <f>1765.02+2890.53+986.16</f>
        <v>5641.71</v>
      </c>
      <c r="J219" s="18">
        <v>410.4</v>
      </c>
      <c r="K219" s="18"/>
      <c r="L219" s="19">
        <f t="shared" ref="L219:L225" si="2">SUM(F219:K219)</f>
        <v>207833.4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225+26087.76+44115.28</f>
        <v>70428.039999999994</v>
      </c>
      <c r="G220" s="18">
        <f>17.22+13146.36+603.51+38049.18</f>
        <v>51816.270000000004</v>
      </c>
      <c r="H220" s="18">
        <f>10157.61+638.4</f>
        <v>10796.01</v>
      </c>
      <c r="I220" s="18">
        <f>8673.88+17873.09-3914.6</f>
        <v>22632.370000000003</v>
      </c>
      <c r="J220" s="18">
        <f>879.9+24773.62</f>
        <v>25653.52</v>
      </c>
      <c r="K220" s="18">
        <v>12</v>
      </c>
      <c r="L220" s="19">
        <f t="shared" si="2"/>
        <v>181338.21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103511.21</f>
        <v>103511.21</v>
      </c>
      <c r="G221" s="18">
        <f>887+44866.57</f>
        <v>45753.57</v>
      </c>
      <c r="H221" s="18">
        <f>15968.91</f>
        <v>15968.91</v>
      </c>
      <c r="I221" s="18">
        <v>3914.6</v>
      </c>
      <c r="J221" s="18"/>
      <c r="K221" s="18">
        <v>5682.44</v>
      </c>
      <c r="L221" s="19">
        <f t="shared" si="2"/>
        <v>174830.73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155768.86</f>
        <v>155768.85999999999</v>
      </c>
      <c r="G222" s="18">
        <f>62975.48+1334.81</f>
        <v>64310.29</v>
      </c>
      <c r="H222" s="18">
        <f>12284.19</f>
        <v>12284.19</v>
      </c>
      <c r="I222" s="18">
        <f>4682.46</f>
        <v>4682.46</v>
      </c>
      <c r="J222" s="18"/>
      <c r="K222" s="18">
        <v>3500</v>
      </c>
      <c r="L222" s="19">
        <f t="shared" si="2"/>
        <v>240545.8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81216.59+34881.2</f>
        <v>116097.79</v>
      </c>
      <c r="G224" s="18">
        <f>38756.43+994.86+13227.19</f>
        <v>52978.48</v>
      </c>
      <c r="H224" s="18">
        <f>73183.84</f>
        <v>73183.839999999997</v>
      </c>
      <c r="I224" s="18">
        <v>112809.64</v>
      </c>
      <c r="J224" s="18">
        <v>6562.93</v>
      </c>
      <c r="K224" s="18"/>
      <c r="L224" s="19">
        <f t="shared" si="2"/>
        <v>361632.68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12427.39+89418.79+11943.25</f>
        <v>113789.43</v>
      </c>
      <c r="I225" s="18"/>
      <c r="J225" s="18"/>
      <c r="K225" s="18"/>
      <c r="L225" s="19">
        <f t="shared" si="2"/>
        <v>113789.43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1933838.83</v>
      </c>
      <c r="G228" s="41">
        <f>SUM(G214:G227)</f>
        <v>803406</v>
      </c>
      <c r="H228" s="41">
        <f>SUM(H214:H227)</f>
        <v>343433.35</v>
      </c>
      <c r="I228" s="41">
        <f>SUM(I214:I227)</f>
        <v>186127.02000000002</v>
      </c>
      <c r="J228" s="41">
        <f>SUM(J214:J227)</f>
        <v>45980.02</v>
      </c>
      <c r="K228" s="41">
        <f t="shared" si="3"/>
        <v>9894.4399999999987</v>
      </c>
      <c r="L228" s="41">
        <f t="shared" si="3"/>
        <v>3322679.66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1146995.56+812.5</f>
        <v>1147808.06</v>
      </c>
      <c r="G232" s="18">
        <f>558367.89+9583.91-15313.12</f>
        <v>552638.68000000005</v>
      </c>
      <c r="H232" s="18">
        <f>20607.79+12242.25</f>
        <v>32850.04</v>
      </c>
      <c r="I232" s="18">
        <f>69427.3</f>
        <v>69427.3</v>
      </c>
      <c r="J232" s="18">
        <v>13596.71</v>
      </c>
      <c r="K232" s="18">
        <v>363</v>
      </c>
      <c r="L232" s="19">
        <f>SUM(F232:K232)</f>
        <v>1816683.7900000003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315977.85+16337.55</f>
        <v>332315.39999999997</v>
      </c>
      <c r="G233" s="18">
        <f>139966.05+3150.12+6816.36-2176</f>
        <v>147756.52999999997</v>
      </c>
      <c r="H233" s="18">
        <f>72090.69+475106.51</f>
        <v>547197.19999999995</v>
      </c>
      <c r="I233" s="18">
        <f>4050.64+1003.8</f>
        <v>5054.4399999999996</v>
      </c>
      <c r="J233" s="18"/>
      <c r="K233" s="18"/>
      <c r="L233" s="19">
        <f>SUM(F233:K233)</f>
        <v>1032323.5699999998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94905</f>
        <v>94905</v>
      </c>
      <c r="I234" s="18"/>
      <c r="J234" s="18"/>
      <c r="K234" s="18"/>
      <c r="L234" s="19">
        <f>SUM(F234:K234)</f>
        <v>94905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88419.25+30439.71</f>
        <v>118858.95999999999</v>
      </c>
      <c r="G235" s="18">
        <f>11383.04+5862.13+992.44</f>
        <v>18237.61</v>
      </c>
      <c r="H235" s="18">
        <f>29366.75</f>
        <v>29366.75</v>
      </c>
      <c r="I235" s="18">
        <f>7116.8</f>
        <v>7116.8</v>
      </c>
      <c r="J235" s="18">
        <v>19692.43</v>
      </c>
      <c r="K235" s="18">
        <v>5099</v>
      </c>
      <c r="L235" s="19">
        <f>SUM(F235:K235)</f>
        <v>198371.55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111161.12+76123.73+44955.62</f>
        <v>232240.46999999997</v>
      </c>
      <c r="G237" s="18">
        <f>70195.94+31007.23+1563.78+19182.83</f>
        <v>121949.78</v>
      </c>
      <c r="H237" s="18">
        <f>5382.5+2539.71+15295.92+541.87+9730.28+972.67</f>
        <v>34462.949999999997</v>
      </c>
      <c r="I237" s="18">
        <f>3357.62+3448.36+1171.33</f>
        <v>7977.3099999999995</v>
      </c>
      <c r="J237" s="18">
        <v>489.6</v>
      </c>
      <c r="K237" s="18">
        <v>100</v>
      </c>
      <c r="L237" s="19">
        <f t="shared" ref="L237:L243" si="4">SUM(F237:K237)</f>
        <v>397220.11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75+23045.85+31122.24+52398.94</f>
        <v>106642.03</v>
      </c>
      <c r="G238" s="18">
        <f>60.74+3695.42+15683.37+890.43+45193.8</f>
        <v>65523.76</v>
      </c>
      <c r="H238" s="18">
        <f>12064.94+761.6</f>
        <v>12826.54</v>
      </c>
      <c r="I238" s="18">
        <f>10776.42+21229.17-4649.66</f>
        <v>27355.929999999997</v>
      </c>
      <c r="J238" s="18">
        <f>1340.74+29425.43</f>
        <v>30766.170000000002</v>
      </c>
      <c r="K238" s="18">
        <f>6749.45+13</f>
        <v>6762.45</v>
      </c>
      <c r="L238" s="19">
        <f t="shared" si="4"/>
        <v>249876.88000000003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122947.8</f>
        <v>122947.8</v>
      </c>
      <c r="G239" s="18">
        <f>1026.58+53291.3</f>
        <v>54317.880000000005</v>
      </c>
      <c r="H239" s="18">
        <v>18967.439999999999</v>
      </c>
      <c r="I239" s="18">
        <v>4649.66</v>
      </c>
      <c r="J239" s="18"/>
      <c r="K239" s="18"/>
      <c r="L239" s="19">
        <f t="shared" si="4"/>
        <v>200882.78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158185.3</f>
        <v>158185.29999999999</v>
      </c>
      <c r="G240" s="18">
        <f>64576.25+1320.8</f>
        <v>65897.05</v>
      </c>
      <c r="H240" s="18">
        <f>19652.75</f>
        <v>19652.75</v>
      </c>
      <c r="I240" s="18">
        <f>3893.97</f>
        <v>3893.97</v>
      </c>
      <c r="J240" s="18"/>
      <c r="K240" s="18">
        <v>11763</v>
      </c>
      <c r="L240" s="19">
        <f t="shared" si="4"/>
        <v>259392.06999999998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96889.96+41430.95</f>
        <v>138320.91</v>
      </c>
      <c r="G242" s="18">
        <f>46235.75+1154.95+15710.89</f>
        <v>63101.59</v>
      </c>
      <c r="H242" s="18">
        <f>86925.78</f>
        <v>86925.78</v>
      </c>
      <c r="I242" s="18">
        <v>133992.23000000001</v>
      </c>
      <c r="J242" s="18">
        <v>7795.28</v>
      </c>
      <c r="K242" s="18"/>
      <c r="L242" s="19">
        <f t="shared" si="4"/>
        <v>430135.79000000004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198747.28+76240.06+35829.75</f>
        <v>310817.08999999997</v>
      </c>
      <c r="I243" s="18"/>
      <c r="J243" s="18"/>
      <c r="K243" s="18"/>
      <c r="L243" s="19">
        <f t="shared" si="4"/>
        <v>310817.08999999997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2357318.9300000002</v>
      </c>
      <c r="G246" s="41">
        <f t="shared" si="5"/>
        <v>1089422.8800000001</v>
      </c>
      <c r="H246" s="41">
        <f t="shared" si="5"/>
        <v>1187971.54</v>
      </c>
      <c r="I246" s="41">
        <f t="shared" si="5"/>
        <v>259467.64</v>
      </c>
      <c r="J246" s="41">
        <f t="shared" si="5"/>
        <v>72340.19</v>
      </c>
      <c r="K246" s="41">
        <f t="shared" si="5"/>
        <v>24087.45</v>
      </c>
      <c r="L246" s="41">
        <f t="shared" si="5"/>
        <v>4990608.63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42085.72</v>
      </c>
      <c r="I254" s="18"/>
      <c r="J254" s="18"/>
      <c r="K254" s="18"/>
      <c r="L254" s="19">
        <f t="shared" si="6"/>
        <v>42085.72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42085.72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42085.72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7964733.040000001</v>
      </c>
      <c r="G256" s="41">
        <f t="shared" si="8"/>
        <v>3540562.46</v>
      </c>
      <c r="H256" s="41">
        <f t="shared" si="8"/>
        <v>2178734.37</v>
      </c>
      <c r="I256" s="41">
        <f t="shared" si="8"/>
        <v>859700.36</v>
      </c>
      <c r="J256" s="41">
        <f t="shared" si="8"/>
        <v>200176.16</v>
      </c>
      <c r="K256" s="41">
        <f t="shared" si="8"/>
        <v>48112.160000000003</v>
      </c>
      <c r="L256" s="41">
        <f t="shared" si="8"/>
        <v>14792018.549999999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495000</v>
      </c>
      <c r="L259" s="19">
        <f>SUM(F259:K259)</f>
        <v>495000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416213.26</v>
      </c>
      <c r="L260" s="19">
        <f>SUM(F260:K260)</f>
        <v>416213.26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911213.26</v>
      </c>
      <c r="L269" s="41">
        <f t="shared" si="9"/>
        <v>911213.26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7964733.040000001</v>
      </c>
      <c r="G270" s="42">
        <f t="shared" si="11"/>
        <v>3540562.46</v>
      </c>
      <c r="H270" s="42">
        <f t="shared" si="11"/>
        <v>2178734.37</v>
      </c>
      <c r="I270" s="42">
        <f t="shared" si="11"/>
        <v>859700.36</v>
      </c>
      <c r="J270" s="42">
        <f t="shared" si="11"/>
        <v>200176.16</v>
      </c>
      <c r="K270" s="42">
        <f t="shared" si="11"/>
        <v>959325.42</v>
      </c>
      <c r="L270" s="42">
        <f t="shared" si="11"/>
        <v>15703231.809999999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750+9300+122679.48</f>
        <v>132729.47999999998</v>
      </c>
      <c r="G275" s="18"/>
      <c r="H275" s="18"/>
      <c r="I275" s="18">
        <f>903.96+263.53</f>
        <v>1167.49</v>
      </c>
      <c r="J275" s="18"/>
      <c r="K275" s="18"/>
      <c r="L275" s="19">
        <f>SUM(F275:K275)</f>
        <v>133896.96999999997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7303.66+18341.63</f>
        <v>25645.29</v>
      </c>
      <c r="G276" s="18"/>
      <c r="H276" s="18"/>
      <c r="I276" s="18"/>
      <c r="J276" s="18"/>
      <c r="K276" s="18"/>
      <c r="L276" s="19">
        <f>SUM(F276:K276)</f>
        <v>25645.29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19319</f>
        <v>19319</v>
      </c>
      <c r="G280" s="18"/>
      <c r="H280" s="18"/>
      <c r="I280" s="18">
        <f>48.3+404.26</f>
        <v>452.56</v>
      </c>
      <c r="J280" s="18"/>
      <c r="K280" s="18"/>
      <c r="L280" s="19">
        <f t="shared" ref="L280:L286" si="12">SUM(F280:K280)</f>
        <v>19771.560000000001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12168.57</v>
      </c>
      <c r="G281" s="18">
        <v>3974.12</v>
      </c>
      <c r="H281" s="18">
        <f>26466.91+15632.3+4742.53</f>
        <v>46841.74</v>
      </c>
      <c r="I281" s="18">
        <v>13926.52</v>
      </c>
      <c r="J281" s="18"/>
      <c r="K281" s="18"/>
      <c r="L281" s="19">
        <f t="shared" si="12"/>
        <v>76910.95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2500</v>
      </c>
      <c r="G282" s="18"/>
      <c r="H282" s="18"/>
      <c r="I282" s="18"/>
      <c r="J282" s="18"/>
      <c r="K282" s="18"/>
      <c r="L282" s="19">
        <f t="shared" si="12"/>
        <v>2500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192362.34</v>
      </c>
      <c r="G289" s="42">
        <f t="shared" si="13"/>
        <v>3974.12</v>
      </c>
      <c r="H289" s="42">
        <f t="shared" si="13"/>
        <v>46841.74</v>
      </c>
      <c r="I289" s="42">
        <f t="shared" si="13"/>
        <v>15546.57</v>
      </c>
      <c r="J289" s="42">
        <f t="shared" si="13"/>
        <v>0</v>
      </c>
      <c r="K289" s="42">
        <f t="shared" si="13"/>
        <v>0</v>
      </c>
      <c r="L289" s="41">
        <f t="shared" si="13"/>
        <v>258724.76999999996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>
        <v>8670</v>
      </c>
      <c r="K294" s="18"/>
      <c r="L294" s="19">
        <f>SUM(F294:K294)</f>
        <v>8670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88605.5</v>
      </c>
      <c r="G295" s="18"/>
      <c r="H295" s="18"/>
      <c r="I295" s="18"/>
      <c r="J295" s="18"/>
      <c r="K295" s="18"/>
      <c r="L295" s="19">
        <f>SUM(F295:K295)</f>
        <v>88605.5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>
        <v>22.17</v>
      </c>
      <c r="J299" s="18"/>
      <c r="K299" s="18">
        <v>456</v>
      </c>
      <c r="L299" s="19">
        <f t="shared" ref="L299:L305" si="14">SUM(F299:K299)</f>
        <v>478.17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5584.37</v>
      </c>
      <c r="G300" s="18"/>
      <c r="H300" s="18">
        <f>9533.09+7059.21</f>
        <v>16592.3</v>
      </c>
      <c r="I300" s="18">
        <v>6391.13</v>
      </c>
      <c r="J300" s="18"/>
      <c r="K300" s="18"/>
      <c r="L300" s="19">
        <f t="shared" si="14"/>
        <v>28567.8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94189.87</v>
      </c>
      <c r="G308" s="42">
        <f t="shared" si="15"/>
        <v>0</v>
      </c>
      <c r="H308" s="42">
        <f t="shared" si="15"/>
        <v>16592.3</v>
      </c>
      <c r="I308" s="42">
        <f t="shared" si="15"/>
        <v>6413.3</v>
      </c>
      <c r="J308" s="42">
        <f t="shared" si="15"/>
        <v>8670</v>
      </c>
      <c r="K308" s="42">
        <f t="shared" si="15"/>
        <v>456</v>
      </c>
      <c r="L308" s="41">
        <f t="shared" si="15"/>
        <v>126321.47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30619</v>
      </c>
      <c r="G314" s="18"/>
      <c r="H314" s="18"/>
      <c r="I314" s="18"/>
      <c r="J314" s="18"/>
      <c r="K314" s="18"/>
      <c r="L314" s="19">
        <f>SUM(F314:K314)</f>
        <v>30619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>
        <v>26.33</v>
      </c>
      <c r="J318" s="18"/>
      <c r="K318" s="18"/>
      <c r="L318" s="19">
        <f t="shared" ref="L318:L324" si="16">SUM(F318:K318)</f>
        <v>26.33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6632.97</v>
      </c>
      <c r="G319" s="18"/>
      <c r="H319" s="18">
        <f>16000+8384.74</f>
        <v>24384.739999999998</v>
      </c>
      <c r="I319" s="18">
        <v>7591.21</v>
      </c>
      <c r="J319" s="18"/>
      <c r="K319" s="18"/>
      <c r="L319" s="19">
        <f t="shared" si="16"/>
        <v>38608.92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>
        <v>1200</v>
      </c>
      <c r="J323" s="18"/>
      <c r="K323" s="18"/>
      <c r="L323" s="19">
        <f t="shared" si="16"/>
        <v>1200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37251.97</v>
      </c>
      <c r="G327" s="42">
        <f t="shared" si="17"/>
        <v>0</v>
      </c>
      <c r="H327" s="42">
        <f t="shared" si="17"/>
        <v>24384.739999999998</v>
      </c>
      <c r="I327" s="42">
        <f t="shared" si="17"/>
        <v>8817.5400000000009</v>
      </c>
      <c r="J327" s="42">
        <f t="shared" si="17"/>
        <v>0</v>
      </c>
      <c r="K327" s="42">
        <f t="shared" si="17"/>
        <v>0</v>
      </c>
      <c r="L327" s="41">
        <f t="shared" si="17"/>
        <v>70454.25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323804.17999999993</v>
      </c>
      <c r="G337" s="41">
        <f t="shared" si="20"/>
        <v>3974.12</v>
      </c>
      <c r="H337" s="41">
        <f t="shared" si="20"/>
        <v>87818.78</v>
      </c>
      <c r="I337" s="41">
        <f t="shared" si="20"/>
        <v>30777.41</v>
      </c>
      <c r="J337" s="41">
        <f t="shared" si="20"/>
        <v>8670</v>
      </c>
      <c r="K337" s="41">
        <f t="shared" si="20"/>
        <v>456</v>
      </c>
      <c r="L337" s="41">
        <f t="shared" si="20"/>
        <v>455500.49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f>17339.23</f>
        <v>17339.23</v>
      </c>
      <c r="L343" s="19">
        <f t="shared" ref="L343:L349" si="21">SUM(F343:K343)</f>
        <v>17339.23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17339.23</v>
      </c>
      <c r="L350" s="41">
        <f>SUM(L340:L349)</f>
        <v>17339.23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323804.17999999993</v>
      </c>
      <c r="G351" s="41">
        <f>G337</f>
        <v>3974.12</v>
      </c>
      <c r="H351" s="41">
        <f>H337</f>
        <v>87818.78</v>
      </c>
      <c r="I351" s="41">
        <f>I337</f>
        <v>30777.41</v>
      </c>
      <c r="J351" s="41">
        <f>J337</f>
        <v>8670</v>
      </c>
      <c r="K351" s="47">
        <f>K337+K350</f>
        <v>17795.23</v>
      </c>
      <c r="L351" s="41">
        <f>L337+L350</f>
        <v>472839.72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2099.25+44506.4</f>
        <v>46605.65</v>
      </c>
      <c r="G357" s="18">
        <f>2542.28+4045.59</f>
        <v>6587.8700000000008</v>
      </c>
      <c r="H357" s="18">
        <v>729.42</v>
      </c>
      <c r="I357" s="18">
        <f>9981.33+39248.35</f>
        <v>49229.68</v>
      </c>
      <c r="J357" s="18">
        <v>2513.06</v>
      </c>
      <c r="K357" s="18">
        <v>413</v>
      </c>
      <c r="L357" s="13">
        <f>SUM(F357:K357)</f>
        <v>106078.68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963.38+41937.91</f>
        <v>42901.29</v>
      </c>
      <c r="G358" s="18">
        <f>1166.7+5676.84</f>
        <v>6843.54</v>
      </c>
      <c r="H358" s="18">
        <v>334.73</v>
      </c>
      <c r="I358" s="18">
        <f>4580.61+54920.37</f>
        <v>59500.98</v>
      </c>
      <c r="J358" s="18">
        <v>1153.29</v>
      </c>
      <c r="K358" s="18">
        <v>190</v>
      </c>
      <c r="L358" s="19">
        <f>SUM(F358:K358)</f>
        <v>110923.83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50031.19+1144.29</f>
        <v>51175.48</v>
      </c>
      <c r="G359" s="18">
        <f>1385.77+6772.36</f>
        <v>8158.1299999999992</v>
      </c>
      <c r="H359" s="18">
        <v>397.61</v>
      </c>
      <c r="I359" s="18">
        <f>5440.72+65519.04</f>
        <v>70959.759999999995</v>
      </c>
      <c r="J359" s="18">
        <v>1369.84</v>
      </c>
      <c r="K359" s="18">
        <v>226</v>
      </c>
      <c r="L359" s="19">
        <f>SUM(F359:K359)</f>
        <v>132286.82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140682.42000000001</v>
      </c>
      <c r="G361" s="47">
        <f t="shared" si="22"/>
        <v>21589.54</v>
      </c>
      <c r="H361" s="47">
        <f t="shared" si="22"/>
        <v>1461.7600000000002</v>
      </c>
      <c r="I361" s="47">
        <f t="shared" si="22"/>
        <v>179690.41999999998</v>
      </c>
      <c r="J361" s="47">
        <f t="shared" si="22"/>
        <v>5036.1899999999996</v>
      </c>
      <c r="K361" s="47">
        <f t="shared" si="22"/>
        <v>829</v>
      </c>
      <c r="L361" s="47">
        <f t="shared" si="22"/>
        <v>349289.33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8457.85+35982.34</f>
        <v>44440.189999999995</v>
      </c>
      <c r="G366" s="18">
        <f>3881.46+51743.88</f>
        <v>55625.34</v>
      </c>
      <c r="H366" s="18">
        <f>4610.29+61729.54</f>
        <v>66339.83</v>
      </c>
      <c r="I366" s="56">
        <f>SUM(F366:H366)</f>
        <v>166405.35999999999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1523.48+3266.01</f>
        <v>4789.49</v>
      </c>
      <c r="G367" s="63">
        <f>699.15+3176.49</f>
        <v>3875.64</v>
      </c>
      <c r="H367" s="63">
        <f>830.43+3789.5</f>
        <v>4619.93</v>
      </c>
      <c r="I367" s="56">
        <f>SUM(F367:H367)</f>
        <v>13285.06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49229.679999999993</v>
      </c>
      <c r="G368" s="47">
        <f>SUM(G366:G367)</f>
        <v>59500.979999999996</v>
      </c>
      <c r="H368" s="47">
        <f>SUM(H366:H367)</f>
        <v>70959.760000000009</v>
      </c>
      <c r="I368" s="47">
        <f>SUM(I366:I367)</f>
        <v>179690.41999999998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498391.82</f>
        <v>498391.82</v>
      </c>
      <c r="G464" s="18">
        <v>50894.25</v>
      </c>
      <c r="H464" s="18">
        <v>2125.64</v>
      </c>
      <c r="I464" s="18"/>
      <c r="J464" s="18"/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15396183.219999999</v>
      </c>
      <c r="G467" s="18">
        <f>G192</f>
        <v>378824.67</v>
      </c>
      <c r="H467" s="18">
        <f>H192</f>
        <v>472120.19</v>
      </c>
      <c r="I467" s="18"/>
      <c r="J467" s="18"/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f>3283.01+17250</f>
        <v>20533.010000000002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15416716.229999999</v>
      </c>
      <c r="G469" s="53">
        <f>SUM(G467:G468)</f>
        <v>378824.67</v>
      </c>
      <c r="H469" s="53">
        <f>SUM(H467:H468)</f>
        <v>472120.19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15703231.809999999</v>
      </c>
      <c r="G471" s="18">
        <v>349289.33</v>
      </c>
      <c r="H471" s="18">
        <f>470920.19+1919.53</f>
        <v>472839.72000000003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15703231.809999999</v>
      </c>
      <c r="G473" s="53">
        <f>SUM(G471:G472)</f>
        <v>349289.33</v>
      </c>
      <c r="H473" s="53">
        <f>SUM(H471:H472)</f>
        <v>472839.72000000003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211876.24000000022</v>
      </c>
      <c r="G475" s="53">
        <f>(G464+G469)- G473</f>
        <v>80429.589999999967</v>
      </c>
      <c r="H475" s="53">
        <f>(H464+H469)- H473</f>
        <v>1406.109999999986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274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909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12072350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9570000</v>
      </c>
      <c r="G494" s="18"/>
      <c r="H494" s="18"/>
      <c r="I494" s="18"/>
      <c r="J494" s="18"/>
      <c r="K494" s="53">
        <f>SUM(F494:J494)</f>
        <v>9570000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495000</v>
      </c>
      <c r="G496" s="18"/>
      <c r="H496" s="18"/>
      <c r="I496" s="18"/>
      <c r="J496" s="18"/>
      <c r="K496" s="53">
        <f t="shared" si="35"/>
        <v>495000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9075000</v>
      </c>
      <c r="G497" s="204"/>
      <c r="H497" s="204"/>
      <c r="I497" s="204"/>
      <c r="J497" s="204"/>
      <c r="K497" s="205">
        <f t="shared" si="35"/>
        <v>9075000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3308069.87-416213.26</f>
        <v>2891856.6100000003</v>
      </c>
      <c r="G498" s="18"/>
      <c r="H498" s="18"/>
      <c r="I498" s="18"/>
      <c r="J498" s="18"/>
      <c r="K498" s="53">
        <f t="shared" si="35"/>
        <v>2891856.6100000003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11966856.609999999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11966856.609999999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520000</v>
      </c>
      <c r="G500" s="204"/>
      <c r="H500" s="204"/>
      <c r="I500" s="204"/>
      <c r="J500" s="204"/>
      <c r="K500" s="205">
        <f t="shared" si="35"/>
        <v>520000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390838</v>
      </c>
      <c r="G501" s="18"/>
      <c r="H501" s="18"/>
      <c r="I501" s="18"/>
      <c r="J501" s="18"/>
      <c r="K501" s="53">
        <f t="shared" si="35"/>
        <v>390838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910838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910838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106130.3</v>
      </c>
      <c r="G506" s="144"/>
      <c r="H506" s="144">
        <f>F506-I506</f>
        <v>34887.42</v>
      </c>
      <c r="I506" s="144">
        <v>71242.880000000005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F276+F197</f>
        <v>805682.15000000014</v>
      </c>
      <c r="G520" s="18">
        <f t="shared" ref="G520:K520" si="36">G276+G197</f>
        <v>329088.30000000005</v>
      </c>
      <c r="H520" s="18">
        <f t="shared" si="36"/>
        <v>80432.98</v>
      </c>
      <c r="I520" s="18">
        <f t="shared" si="36"/>
        <v>11322.730000000001</v>
      </c>
      <c r="J520" s="18">
        <f t="shared" si="36"/>
        <v>1735.91</v>
      </c>
      <c r="K520" s="18">
        <f t="shared" si="36"/>
        <v>0</v>
      </c>
      <c r="L520" s="88">
        <f>SUM(F520:K520)</f>
        <v>1228262.07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F295+F215</f>
        <v>443289.74</v>
      </c>
      <c r="G521" s="18">
        <f t="shared" ref="G521:K521" si="37">G295+G215</f>
        <v>150134.06999999998</v>
      </c>
      <c r="H521" s="18">
        <f t="shared" si="37"/>
        <v>78065.73</v>
      </c>
      <c r="I521" s="18">
        <f t="shared" si="37"/>
        <v>2987.56</v>
      </c>
      <c r="J521" s="18">
        <f t="shared" si="37"/>
        <v>850</v>
      </c>
      <c r="K521" s="18">
        <f t="shared" si="37"/>
        <v>0</v>
      </c>
      <c r="L521" s="88">
        <f>SUM(F521:K521)</f>
        <v>675327.1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F314+F233</f>
        <v>362934.39999999997</v>
      </c>
      <c r="G522" s="18">
        <f t="shared" ref="G522:K522" si="38">G314+G233</f>
        <v>147756.52999999997</v>
      </c>
      <c r="H522" s="18">
        <f t="shared" si="38"/>
        <v>547197.19999999995</v>
      </c>
      <c r="I522" s="18">
        <f t="shared" si="38"/>
        <v>5054.4399999999996</v>
      </c>
      <c r="J522" s="18">
        <f t="shared" si="38"/>
        <v>0</v>
      </c>
      <c r="K522" s="18">
        <f t="shared" si="38"/>
        <v>0</v>
      </c>
      <c r="L522" s="88">
        <f>SUM(F522:K522)</f>
        <v>1062942.5699999998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1611906.29</v>
      </c>
      <c r="G523" s="108">
        <f t="shared" ref="G523:L523" si="39">SUM(G520:G522)</f>
        <v>626978.89999999991</v>
      </c>
      <c r="H523" s="108">
        <f t="shared" si="39"/>
        <v>705695.90999999992</v>
      </c>
      <c r="I523" s="108">
        <f t="shared" si="39"/>
        <v>19364.73</v>
      </c>
      <c r="J523" s="108">
        <f t="shared" si="39"/>
        <v>2585.91</v>
      </c>
      <c r="K523" s="108">
        <f t="shared" si="39"/>
        <v>0</v>
      </c>
      <c r="L523" s="89">
        <f t="shared" si="39"/>
        <v>2966531.7399999998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82473.72+54684.91+59123.4+58345+19319+12168.57</f>
        <v>286114.60000000003</v>
      </c>
      <c r="G525" s="18">
        <f>35192.01+46239.71+19504.59+200</f>
        <v>101136.31</v>
      </c>
      <c r="H525" s="18">
        <f>28061.26+10790.91+11450+17850.78+5221.92+15632.3</f>
        <v>89007.17</v>
      </c>
      <c r="I525" s="18">
        <f>2148.88+3190.59+2700+48.3+13926.52-185.22</f>
        <v>21829.07</v>
      </c>
      <c r="J525" s="18">
        <f>1751.04+477.42</f>
        <v>2228.46</v>
      </c>
      <c r="K525" s="18"/>
      <c r="L525" s="88">
        <f>SUM(F525:K525)</f>
        <v>500315.61000000004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37848.66+25095.88+34265.65+5584.37</f>
        <v>102794.56</v>
      </c>
      <c r="G526" s="18">
        <f>16150.24+16930.28</f>
        <v>33080.519999999997</v>
      </c>
      <c r="H526" s="18">
        <f>12877.82+541.88+8192.04+7059.21</f>
        <v>28670.949999999997</v>
      </c>
      <c r="I526" s="18">
        <f>986.16+1147.36+2217+6391.13</f>
        <v>10741.650000000001</v>
      </c>
      <c r="J526" s="18">
        <f>803.58+225</f>
        <v>1028.58</v>
      </c>
      <c r="K526" s="18"/>
      <c r="L526" s="88">
        <f>SUM(F526:K526)</f>
        <v>176316.25999999995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44955.62+29808.21+40878.33+6632.97</f>
        <v>122275.13</v>
      </c>
      <c r="G527" s="18">
        <f>19182.82+20204.68</f>
        <v>39387.5</v>
      </c>
      <c r="H527" s="18">
        <f>15295.92+541.87+9730.28+8384.74</f>
        <v>33952.81</v>
      </c>
      <c r="I527" s="18">
        <f>1171.33+1368.77+7591.21+26.33</f>
        <v>10157.64</v>
      </c>
      <c r="J527" s="18">
        <f>954.48+275</f>
        <v>1229.48</v>
      </c>
      <c r="K527" s="18"/>
      <c r="L527" s="88">
        <f>SUM(F527:K527)</f>
        <v>207002.56000000003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511184.29000000004</v>
      </c>
      <c r="G528" s="89">
        <f t="shared" ref="G528:L528" si="40">SUM(G525:G527)</f>
        <v>173604.33</v>
      </c>
      <c r="H528" s="89">
        <f t="shared" si="40"/>
        <v>151630.93</v>
      </c>
      <c r="I528" s="89">
        <f t="shared" si="40"/>
        <v>42728.36</v>
      </c>
      <c r="J528" s="89">
        <f t="shared" si="40"/>
        <v>4486.5200000000004</v>
      </c>
      <c r="K528" s="89">
        <f t="shared" si="40"/>
        <v>0</v>
      </c>
      <c r="L528" s="89">
        <f t="shared" si="40"/>
        <v>883634.43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74315.7</v>
      </c>
      <c r="G530" s="18">
        <v>34581.129999999997</v>
      </c>
      <c r="H530" s="18">
        <v>3648.4</v>
      </c>
      <c r="I530" s="18">
        <v>6558.7</v>
      </c>
      <c r="J530" s="18"/>
      <c r="K530" s="18">
        <f>450+5215.47</f>
        <v>5665.47</v>
      </c>
      <c r="L530" s="88">
        <f>SUM(F530:K530)</f>
        <v>124769.39999999998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34104.800000000003</v>
      </c>
      <c r="G531" s="18">
        <v>15869.9</v>
      </c>
      <c r="H531" s="18">
        <v>1674.32</v>
      </c>
      <c r="I531" s="18">
        <v>3009.9</v>
      </c>
      <c r="J531" s="18"/>
      <c r="K531" s="18">
        <f>250+2393.47</f>
        <v>2643.47</v>
      </c>
      <c r="L531" s="88">
        <f>SUM(F531:K531)</f>
        <v>57302.390000000007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40508.76</v>
      </c>
      <c r="G532" s="18">
        <v>18849.84</v>
      </c>
      <c r="H532" s="18">
        <v>1988.71</v>
      </c>
      <c r="I532" s="18">
        <v>3575.08</v>
      </c>
      <c r="J532" s="18"/>
      <c r="K532" s="18">
        <f>250+2842.9</f>
        <v>3092.9</v>
      </c>
      <c r="L532" s="88">
        <f>SUM(F532:K532)</f>
        <v>68015.290000000008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148929.26</v>
      </c>
      <c r="G533" s="89">
        <f t="shared" ref="G533:L533" si="41">SUM(G530:G532)</f>
        <v>69300.87</v>
      </c>
      <c r="H533" s="89">
        <f t="shared" si="41"/>
        <v>7311.43</v>
      </c>
      <c r="I533" s="89">
        <f t="shared" si="41"/>
        <v>13143.68</v>
      </c>
      <c r="J533" s="89">
        <f t="shared" si="41"/>
        <v>0</v>
      </c>
      <c r="K533" s="89">
        <f t="shared" si="41"/>
        <v>11401.84</v>
      </c>
      <c r="L533" s="89">
        <f t="shared" si="41"/>
        <v>250087.08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570</v>
      </c>
      <c r="I535" s="18"/>
      <c r="J535" s="18"/>
      <c r="K535" s="18"/>
      <c r="L535" s="88">
        <f>SUM(F535:K535)</f>
        <v>570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300</v>
      </c>
      <c r="I536" s="18"/>
      <c r="J536" s="18"/>
      <c r="K536" s="18"/>
      <c r="L536" s="88">
        <f>SUM(F536:K536)</f>
        <v>300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304.24</v>
      </c>
      <c r="I537" s="18"/>
      <c r="J537" s="18"/>
      <c r="K537" s="18"/>
      <c r="L537" s="88">
        <f>SUM(F537:K537)</f>
        <v>304.24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1174.24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1174.24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36044.51</v>
      </c>
      <c r="I540" s="18"/>
      <c r="J540" s="18"/>
      <c r="K540" s="18"/>
      <c r="L540" s="88">
        <f>SUM(F540:K540)</f>
        <v>36044.51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36044.51</v>
      </c>
      <c r="I541" s="18"/>
      <c r="J541" s="18"/>
      <c r="K541" s="18"/>
      <c r="L541" s="88">
        <f>SUM(F541:K541)</f>
        <v>36044.51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168207.73</v>
      </c>
      <c r="I542" s="18"/>
      <c r="J542" s="18"/>
      <c r="K542" s="18"/>
      <c r="L542" s="88">
        <f>SUM(F542:K542)</f>
        <v>168207.73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3">SUM(G540:G542)</f>
        <v>0</v>
      </c>
      <c r="H543" s="193">
        <f t="shared" si="43"/>
        <v>240296.75</v>
      </c>
      <c r="I543" s="193">
        <f t="shared" si="43"/>
        <v>0</v>
      </c>
      <c r="J543" s="193">
        <f t="shared" si="43"/>
        <v>0</v>
      </c>
      <c r="K543" s="193">
        <f t="shared" si="43"/>
        <v>0</v>
      </c>
      <c r="L543" s="193">
        <f t="shared" si="43"/>
        <v>240296.75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2272019.84</v>
      </c>
      <c r="G544" s="89">
        <f t="shared" ref="G544:L544" si="44">G523+G528+G533+G538+G543</f>
        <v>869884.09999999986</v>
      </c>
      <c r="H544" s="89">
        <f t="shared" si="44"/>
        <v>1106109.2599999998</v>
      </c>
      <c r="I544" s="89">
        <f t="shared" si="44"/>
        <v>75236.76999999999</v>
      </c>
      <c r="J544" s="89">
        <f t="shared" si="44"/>
        <v>7072.43</v>
      </c>
      <c r="K544" s="89">
        <f t="shared" si="44"/>
        <v>11401.84</v>
      </c>
      <c r="L544" s="89">
        <f t="shared" si="44"/>
        <v>4341724.24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1228262.07</v>
      </c>
      <c r="G548" s="87">
        <f>L525</f>
        <v>500315.61000000004</v>
      </c>
      <c r="H548" s="87">
        <f>L530</f>
        <v>124769.39999999998</v>
      </c>
      <c r="I548" s="87">
        <f>L535</f>
        <v>570</v>
      </c>
      <c r="J548" s="87">
        <f>L540</f>
        <v>36044.51</v>
      </c>
      <c r="K548" s="87">
        <f>SUM(F548:J548)</f>
        <v>1889961.59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675327.1</v>
      </c>
      <c r="G549" s="87">
        <f>L526</f>
        <v>176316.25999999995</v>
      </c>
      <c r="H549" s="87">
        <f>L531</f>
        <v>57302.390000000007</v>
      </c>
      <c r="I549" s="87">
        <f>L536</f>
        <v>300</v>
      </c>
      <c r="J549" s="87">
        <f>L541</f>
        <v>36044.51</v>
      </c>
      <c r="K549" s="87">
        <f>SUM(F549:J549)</f>
        <v>945290.25999999989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1062942.5699999998</v>
      </c>
      <c r="G550" s="87">
        <f>L527</f>
        <v>207002.56000000003</v>
      </c>
      <c r="H550" s="87">
        <f>L532</f>
        <v>68015.290000000008</v>
      </c>
      <c r="I550" s="87">
        <f>L537</f>
        <v>304.24</v>
      </c>
      <c r="J550" s="87">
        <f>L542</f>
        <v>168207.73</v>
      </c>
      <c r="K550" s="87">
        <f>SUM(F550:J550)</f>
        <v>1506472.39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2966531.7399999998</v>
      </c>
      <c r="G551" s="89">
        <f t="shared" si="45"/>
        <v>883634.43</v>
      </c>
      <c r="H551" s="89">
        <f t="shared" si="45"/>
        <v>250087.08</v>
      </c>
      <c r="I551" s="89">
        <f t="shared" si="45"/>
        <v>1174.24</v>
      </c>
      <c r="J551" s="89">
        <f t="shared" si="45"/>
        <v>240296.75</v>
      </c>
      <c r="K551" s="89">
        <f t="shared" si="45"/>
        <v>4341724.24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f>122679.48+2500</f>
        <v>125179.48</v>
      </c>
      <c r="G556" s="18">
        <f>7576.23+10035+132+253+500</f>
        <v>18496.23</v>
      </c>
      <c r="H556" s="18">
        <v>4742.53</v>
      </c>
      <c r="I556" s="18">
        <v>404.26299999999998</v>
      </c>
      <c r="J556" s="18"/>
      <c r="K556" s="18">
        <v>4695.62</v>
      </c>
      <c r="L556" s="88">
        <f>SUM(F556:K556)</f>
        <v>153518.12299999999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6">SUM(F556:F558)</f>
        <v>125179.48</v>
      </c>
      <c r="G559" s="108">
        <f t="shared" si="46"/>
        <v>18496.23</v>
      </c>
      <c r="H559" s="108">
        <f t="shared" si="46"/>
        <v>4742.53</v>
      </c>
      <c r="I559" s="108">
        <f t="shared" si="46"/>
        <v>404.26299999999998</v>
      </c>
      <c r="J559" s="108">
        <f t="shared" si="46"/>
        <v>0</v>
      </c>
      <c r="K559" s="108">
        <f t="shared" si="46"/>
        <v>4695.62</v>
      </c>
      <c r="L559" s="89">
        <f t="shared" si="46"/>
        <v>153518.12299999999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36688.04</v>
      </c>
      <c r="G561" s="18">
        <v>11936.72</v>
      </c>
      <c r="H561" s="18"/>
      <c r="I561" s="18">
        <v>775.51</v>
      </c>
      <c r="J561" s="18"/>
      <c r="K561" s="18"/>
      <c r="L561" s="88">
        <f>SUM(F561:K561)</f>
        <v>49400.270000000004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11330.13</v>
      </c>
      <c r="G562" s="18">
        <v>3686.34</v>
      </c>
      <c r="H562" s="18"/>
      <c r="I562" s="18">
        <v>239.5</v>
      </c>
      <c r="J562" s="18"/>
      <c r="K562" s="18"/>
      <c r="L562" s="88">
        <f>SUM(F562:K562)</f>
        <v>15255.97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5934.83</v>
      </c>
      <c r="G563" s="18">
        <v>1930.94</v>
      </c>
      <c r="H563" s="18"/>
      <c r="I563" s="18">
        <v>125.45</v>
      </c>
      <c r="J563" s="18"/>
      <c r="K563" s="18"/>
      <c r="L563" s="88">
        <f>SUM(F563:K563)</f>
        <v>7991.22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7">SUM(F561:F563)</f>
        <v>53953</v>
      </c>
      <c r="G564" s="89">
        <f t="shared" si="47"/>
        <v>17554</v>
      </c>
      <c r="H564" s="89">
        <f t="shared" si="47"/>
        <v>0</v>
      </c>
      <c r="I564" s="89">
        <f t="shared" si="47"/>
        <v>1140.46</v>
      </c>
      <c r="J564" s="89">
        <f t="shared" si="47"/>
        <v>0</v>
      </c>
      <c r="K564" s="89">
        <f t="shared" si="47"/>
        <v>0</v>
      </c>
      <c r="L564" s="89">
        <f t="shared" si="47"/>
        <v>72647.460000000006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8">SUM(G566:G568)</f>
        <v>0</v>
      </c>
      <c r="H569" s="193">
        <f t="shared" si="48"/>
        <v>0</v>
      </c>
      <c r="I569" s="193">
        <f t="shared" si="48"/>
        <v>0</v>
      </c>
      <c r="J569" s="193">
        <f t="shared" si="48"/>
        <v>0</v>
      </c>
      <c r="K569" s="193">
        <f t="shared" si="48"/>
        <v>0</v>
      </c>
      <c r="L569" s="193">
        <f t="shared" si="48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179132.47999999998</v>
      </c>
      <c r="G570" s="89">
        <f t="shared" ref="G570:L570" si="49">G559+G564+G569</f>
        <v>36050.229999999996</v>
      </c>
      <c r="H570" s="89">
        <f t="shared" si="49"/>
        <v>4742.53</v>
      </c>
      <c r="I570" s="89">
        <f t="shared" si="49"/>
        <v>1544.723</v>
      </c>
      <c r="J570" s="89">
        <f t="shared" si="49"/>
        <v>0</v>
      </c>
      <c r="K570" s="89">
        <f t="shared" si="49"/>
        <v>4695.62</v>
      </c>
      <c r="L570" s="89">
        <f t="shared" si="49"/>
        <v>226165.58299999998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50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71892.75</v>
      </c>
      <c r="I578" s="87">
        <f t="shared" si="50"/>
        <v>71892.75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80060.98</v>
      </c>
      <c r="G581" s="18">
        <v>77840.73</v>
      </c>
      <c r="H581" s="18">
        <f>475106.51+52511.72</f>
        <v>527618.23</v>
      </c>
      <c r="I581" s="87">
        <f t="shared" si="50"/>
        <v>685519.94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29089.4</v>
      </c>
      <c r="G582" s="18"/>
      <c r="H582" s="18">
        <v>213322.25</v>
      </c>
      <c r="I582" s="87">
        <f t="shared" si="50"/>
        <v>242411.65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94905</v>
      </c>
      <c r="I583" s="87">
        <f t="shared" si="50"/>
        <v>94905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167205.5+33468-47773</f>
        <v>152900.5</v>
      </c>
      <c r="I590" s="18">
        <f>47773+11943.25</f>
        <v>59716.25</v>
      </c>
      <c r="J590" s="18">
        <v>59716.249999999993</v>
      </c>
      <c r="K590" s="104">
        <f t="shared" ref="K590:K596" si="51">SUM(H590:J590)</f>
        <v>272333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36044.51</v>
      </c>
      <c r="I591" s="18">
        <v>36044.51</v>
      </c>
      <c r="J591" s="18">
        <v>168207.73</v>
      </c>
      <c r="K591" s="104">
        <f t="shared" si="51"/>
        <v>240296.75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48840.959999999999</v>
      </c>
      <c r="K592" s="104">
        <f t="shared" si="51"/>
        <v>48840.959999999999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10310.71</f>
        <v>10310.709999999999</v>
      </c>
      <c r="J593" s="18">
        <v>26212.27</v>
      </c>
      <c r="K593" s="104">
        <f t="shared" si="51"/>
        <v>36522.979999999996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f>2116.68</f>
        <v>2116.6799999999998</v>
      </c>
      <c r="J594" s="18">
        <v>1186.83</v>
      </c>
      <c r="K594" s="104">
        <f t="shared" si="51"/>
        <v>3303.5099999999998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1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12205.42</v>
      </c>
      <c r="I596" s="18">
        <v>5601.28</v>
      </c>
      <c r="J596" s="18">
        <v>6653.05</v>
      </c>
      <c r="K596" s="104">
        <f t="shared" si="51"/>
        <v>24459.75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201150.43000000002</v>
      </c>
      <c r="I597" s="108">
        <f>SUM(I590:I596)</f>
        <v>113789.43</v>
      </c>
      <c r="J597" s="108">
        <f>SUM(J590:J596)</f>
        <v>310817.09000000003</v>
      </c>
      <c r="K597" s="108">
        <f>SUM(K590:K596)</f>
        <v>625756.94999999995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81855.95</v>
      </c>
      <c r="I601" s="18">
        <f>45980.02+8670</f>
        <v>54650.02</v>
      </c>
      <c r="J601" s="18">
        <v>72340.19</v>
      </c>
      <c r="K601" s="104">
        <f>SUM(H601:J601)</f>
        <v>208846.16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81855.95</v>
      </c>
      <c r="I604" s="108">
        <f>SUM(I601:I603)</f>
        <v>54650.02</v>
      </c>
      <c r="J604" s="108">
        <f>SUM(J601:J603)</f>
        <v>72340.19</v>
      </c>
      <c r="K604" s="108">
        <f>SUM(K601:K603)</f>
        <v>208846.16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47048.47</v>
      </c>
      <c r="G610" s="18">
        <v>8939.2099999999991</v>
      </c>
      <c r="H610" s="18"/>
      <c r="I610" s="18"/>
      <c r="J610" s="18"/>
      <c r="K610" s="18"/>
      <c r="L610" s="88">
        <f>SUM(F610:K610)</f>
        <v>55987.68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4783.16+7000</f>
        <v>11783.16</v>
      </c>
      <c r="G611" s="18">
        <v>2238.8000000000002</v>
      </c>
      <c r="H611" s="18"/>
      <c r="I611" s="18"/>
      <c r="J611" s="18"/>
      <c r="K611" s="18"/>
      <c r="L611" s="88">
        <f>SUM(F611:K611)</f>
        <v>14021.96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8500</v>
      </c>
      <c r="G612" s="18">
        <v>1615</v>
      </c>
      <c r="H612" s="18"/>
      <c r="I612" s="18"/>
      <c r="J612" s="18"/>
      <c r="K612" s="18"/>
      <c r="L612" s="88">
        <f>SUM(F612:K612)</f>
        <v>10115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67331.63</v>
      </c>
      <c r="G613" s="108">
        <f t="shared" si="52"/>
        <v>12793.009999999998</v>
      </c>
      <c r="H613" s="108">
        <f t="shared" si="52"/>
        <v>0</v>
      </c>
      <c r="I613" s="108">
        <f t="shared" si="52"/>
        <v>0</v>
      </c>
      <c r="J613" s="108">
        <f t="shared" si="52"/>
        <v>0</v>
      </c>
      <c r="K613" s="108">
        <f t="shared" si="52"/>
        <v>0</v>
      </c>
      <c r="L613" s="89">
        <f t="shared" si="52"/>
        <v>80124.639999999999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954279.69000000006</v>
      </c>
      <c r="H616" s="109">
        <f>SUM(F51)</f>
        <v>954279.69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103128.01000000001</v>
      </c>
      <c r="H617" s="109">
        <f>SUM(G51)</f>
        <v>103128.01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83454.95</v>
      </c>
      <c r="H618" s="109">
        <f>SUM(H51)</f>
        <v>83454.95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211876.23999999993</v>
      </c>
      <c r="H621" s="109">
        <f>F475</f>
        <v>211876.24000000022</v>
      </c>
      <c r="I621" s="121" t="s">
        <v>101</v>
      </c>
      <c r="J621" s="109">
        <f t="shared" ref="J621:J654" si="53">G621-H621</f>
        <v>-2.9103830456733704E-10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80429.59</v>
      </c>
      <c r="H622" s="109">
        <f>G475</f>
        <v>80429.589999999967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1406.11</v>
      </c>
      <c r="H623" s="109">
        <f>H475</f>
        <v>1406.109999999986</v>
      </c>
      <c r="I623" s="121" t="s">
        <v>103</v>
      </c>
      <c r="J623" s="109">
        <f t="shared" si="53"/>
        <v>1.3869794202037156E-11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15396183.219999999</v>
      </c>
      <c r="H626" s="104">
        <f>SUM(F467)</f>
        <v>15396183.219999999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378824.67</v>
      </c>
      <c r="H627" s="104">
        <f>SUM(G467)</f>
        <v>378824.67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472120.19</v>
      </c>
      <c r="H628" s="104">
        <f>SUM(H467)</f>
        <v>472120.19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15703231.809999999</v>
      </c>
      <c r="H631" s="104">
        <f>SUM(F471)</f>
        <v>15703231.809999999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472839.72</v>
      </c>
      <c r="H632" s="104">
        <f>SUM(H471)</f>
        <v>472839.72000000003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179690.41999999998</v>
      </c>
      <c r="H633" s="104">
        <f>I368</f>
        <v>179690.41999999998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349289.33</v>
      </c>
      <c r="H634" s="104">
        <f>SUM(G471)</f>
        <v>349289.33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3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860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625756.94999999995</v>
      </c>
      <c r="H646" s="104">
        <f>L207+L225+L243</f>
        <v>625756.94999999995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208846.16</v>
      </c>
      <c r="H647" s="104">
        <f>(J256+J337)-(J254+J335)</f>
        <v>208846.16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201150.43</v>
      </c>
      <c r="H648" s="104">
        <f>H597</f>
        <v>201150.43000000002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113789.43</v>
      </c>
      <c r="H649" s="104">
        <f>I597</f>
        <v>113789.43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310817.08999999997</v>
      </c>
      <c r="H650" s="104">
        <f>J597</f>
        <v>310817.09000000003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6801447.9899999993</v>
      </c>
      <c r="G659" s="19">
        <f>(L228+L308+L358)</f>
        <v>3559924.9600000004</v>
      </c>
      <c r="H659" s="19">
        <f>(L246+L327+L359)</f>
        <v>5193349.7</v>
      </c>
      <c r="I659" s="19">
        <f>SUM(F659:H659)</f>
        <v>15554722.649999999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65635.246966201914</v>
      </c>
      <c r="G660" s="19">
        <f>(L358/IF(SUM(L357:L359)=0,1,SUM(L357:L359))*(SUM(G96:G109)))</f>
        <v>68633.140763883901</v>
      </c>
      <c r="H660" s="19">
        <f>(L359/IF(SUM(L357:L359)=0,1,SUM(L357:L359))*(SUM(G96:G109)))</f>
        <v>81851.302269914173</v>
      </c>
      <c r="I660" s="19">
        <f>SUM(F660:H660)</f>
        <v>216119.69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201150.43</v>
      </c>
      <c r="G661" s="19">
        <f>(L225+L305)-(J225+J305)</f>
        <v>113789.43</v>
      </c>
      <c r="H661" s="19">
        <f>(L243+L324)-(J243+J324)</f>
        <v>310817.08999999997</v>
      </c>
      <c r="I661" s="19">
        <f>SUM(F661:H661)</f>
        <v>625756.94999999995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246994.01</v>
      </c>
      <c r="G662" s="199">
        <f>SUM(G574:G586)+SUM(I601:I603)+L611</f>
        <v>146512.71</v>
      </c>
      <c r="H662" s="199">
        <f>SUM(H574:H586)+SUM(J601:J603)+L612</f>
        <v>990193.41999999993</v>
      </c>
      <c r="I662" s="19">
        <f>SUM(F662:H662)</f>
        <v>1383700.14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6287668.3030337971</v>
      </c>
      <c r="G663" s="19">
        <f>G659-SUM(G660:G662)</f>
        <v>3230989.6792361168</v>
      </c>
      <c r="H663" s="19">
        <f>H659-SUM(H660:H662)</f>
        <v>3810487.8877300862</v>
      </c>
      <c r="I663" s="19">
        <f>I659-SUM(I660:I662)</f>
        <v>13329145.869999999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464</v>
      </c>
      <c r="G664" s="248">
        <v>225.72</v>
      </c>
      <c r="H664" s="248">
        <v>274.83999999999997</v>
      </c>
      <c r="I664" s="19">
        <f>SUM(F664:H664)</f>
        <v>964.56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13551.01</v>
      </c>
      <c r="G666" s="19">
        <f>ROUND(G663/G664,2)</f>
        <v>14314.15</v>
      </c>
      <c r="H666" s="19">
        <f>ROUND(H663/H664,2)</f>
        <v>13864.39</v>
      </c>
      <c r="I666" s="19">
        <f>ROUND(I663/I664,2)</f>
        <v>13818.89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-15.65</v>
      </c>
      <c r="I669" s="19">
        <f>SUM(F669:H669)</f>
        <v>-15.65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13551.01</v>
      </c>
      <c r="G671" s="19">
        <f>ROUND((G663+G668)/(G664+G669),2)</f>
        <v>14314.15</v>
      </c>
      <c r="H671" s="19">
        <f>ROUND((H663+H668)/(H664+H669),2)</f>
        <v>14701.52</v>
      </c>
      <c r="I671" s="19">
        <f>ROUND((I663+I668)/(I664+I669),2)</f>
        <v>14046.8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5"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Epping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3898548.65</v>
      </c>
      <c r="C9" s="229">
        <f>'DOE25'!G196+'DOE25'!G214+'DOE25'!G232+'DOE25'!G275+'DOE25'!G294+'DOE25'!G313</f>
        <v>1650244.13</v>
      </c>
    </row>
    <row r="10" spans="1:3" x14ac:dyDescent="0.2">
      <c r="A10" t="s">
        <v>779</v>
      </c>
      <c r="B10" s="240">
        <f>1344263.61+190640.09+917244.72+1131873.06+16650+1575</f>
        <v>3602246.48</v>
      </c>
      <c r="C10" s="240">
        <v>1560737.62</v>
      </c>
    </row>
    <row r="11" spans="1:3" x14ac:dyDescent="0.2">
      <c r="A11" t="s">
        <v>780</v>
      </c>
      <c r="B11" s="240">
        <f>77643.28+122679.48</f>
        <v>200322.76</v>
      </c>
      <c r="C11" s="240">
        <v>82164.09</v>
      </c>
    </row>
    <row r="12" spans="1:3" x14ac:dyDescent="0.2">
      <c r="A12" t="s">
        <v>781</v>
      </c>
      <c r="B12" s="240">
        <f>1037.5+49208.73+20560.68+15122.5+750+6300+3000</f>
        <v>95979.41</v>
      </c>
      <c r="C12" s="240">
        <v>7342.42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3898548.6500000004</v>
      </c>
      <c r="C13" s="231">
        <f>SUM(C10:C12)</f>
        <v>1650244.1300000001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1611906.29</v>
      </c>
      <c r="C18" s="229">
        <f>'DOE25'!G197+'DOE25'!G215+'DOE25'!G233+'DOE25'!G276+'DOE25'!G295+'DOE25'!G314</f>
        <v>626978.89999999991</v>
      </c>
    </row>
    <row r="19" spans="1:3" x14ac:dyDescent="0.2">
      <c r="A19" t="s">
        <v>779</v>
      </c>
      <c r="B19" s="240">
        <f>47831.63+42925.38+257148.66+55601.32+126501.69+211661.08+18341.63+7303.66+88605.5+30619+4000</f>
        <v>890539.54999999993</v>
      </c>
      <c r="C19" s="240">
        <f>3774.12+347552.91</f>
        <v>351327.02999999997</v>
      </c>
    </row>
    <row r="20" spans="1:3" x14ac:dyDescent="0.2">
      <c r="A20" t="s">
        <v>780</v>
      </c>
      <c r="B20" s="240">
        <f>10848.47+294521.88+73237.81+204787.13+104316.77</f>
        <v>687712.06</v>
      </c>
      <c r="C20" s="240">
        <v>273077.28999999998</v>
      </c>
    </row>
    <row r="21" spans="1:3" x14ac:dyDescent="0.2">
      <c r="A21" t="s">
        <v>781</v>
      </c>
      <c r="B21" s="240">
        <f>1829.68+31825</f>
        <v>33654.68</v>
      </c>
      <c r="C21" s="240">
        <v>2574.58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1611906.2899999998</v>
      </c>
      <c r="C22" s="231">
        <f>SUM(C19:C21)</f>
        <v>626978.89999999991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190107</v>
      </c>
      <c r="C36" s="235">
        <f>'DOE25'!G199+'DOE25'!G217+'DOE25'!G235+'DOE25'!G278+'DOE25'!G297+'DOE25'!G316</f>
        <v>30256.940000000002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17450+32104.75+52133+88419.25</f>
        <v>190107</v>
      </c>
      <c r="C39" s="240">
        <v>30256.94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190107</v>
      </c>
      <c r="C40" s="231">
        <f>SUM(C37:C39)</f>
        <v>30256.94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pane="bottomLeft" activeCell="D41" sqref="D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Epping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8893704.2200000007</v>
      </c>
      <c r="D5" s="20">
        <f>SUM('DOE25'!L196:L199)+SUM('DOE25'!L214:L217)+SUM('DOE25'!L232:L235)-F5-G5</f>
        <v>8835349</v>
      </c>
      <c r="E5" s="243"/>
      <c r="F5" s="255">
        <f>SUM('DOE25'!J196:J199)+SUM('DOE25'!J214:J217)+SUM('DOE25'!J232:J235)</f>
        <v>52193.22</v>
      </c>
      <c r="G5" s="53">
        <f>SUM('DOE25'!K196:K199)+SUM('DOE25'!K214:K217)+SUM('DOE25'!K232:K235)</f>
        <v>6162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1221598.4499999997</v>
      </c>
      <c r="D6" s="20">
        <f>'DOE25'!L201+'DOE25'!L219+'DOE25'!L237-F6-G6</f>
        <v>1215676.9799999997</v>
      </c>
      <c r="E6" s="243"/>
      <c r="F6" s="255">
        <f>'DOE25'!J201+'DOE25'!J219+'DOE25'!J237</f>
        <v>5821.47</v>
      </c>
      <c r="G6" s="53">
        <f>'DOE25'!K201+'DOE25'!K219+'DOE25'!K237</f>
        <v>100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831876.41</v>
      </c>
      <c r="D7" s="20">
        <f>'DOE25'!L202+'DOE25'!L220+'DOE25'!L238-F7-G7</f>
        <v>713124.59000000008</v>
      </c>
      <c r="E7" s="243"/>
      <c r="F7" s="255">
        <f>'DOE25'!J202+'DOE25'!J220+'DOE25'!J238</f>
        <v>111952.37</v>
      </c>
      <c r="G7" s="53">
        <f>'DOE25'!K202+'DOE25'!K220+'DOE25'!K238</f>
        <v>6799.45</v>
      </c>
      <c r="H7" s="259"/>
    </row>
    <row r="8" spans="1:9" x14ac:dyDescent="0.2">
      <c r="A8" s="32">
        <v>2300</v>
      </c>
      <c r="B8" t="s">
        <v>802</v>
      </c>
      <c r="C8" s="245">
        <f t="shared" si="0"/>
        <v>468758.11000000016</v>
      </c>
      <c r="D8" s="243"/>
      <c r="E8" s="20">
        <f>'DOE25'!L203+'DOE25'!L221+'DOE25'!L239-F8-G8-D9-D11</f>
        <v>450693.40000000014</v>
      </c>
      <c r="F8" s="255">
        <f>'DOE25'!J203+'DOE25'!J221+'DOE25'!J239</f>
        <v>0</v>
      </c>
      <c r="G8" s="53">
        <f>'DOE25'!K203+'DOE25'!K221+'DOE25'!K239</f>
        <v>18064.71</v>
      </c>
      <c r="H8" s="259"/>
    </row>
    <row r="9" spans="1:9" x14ac:dyDescent="0.2">
      <c r="A9" s="32">
        <v>2310</v>
      </c>
      <c r="B9" t="s">
        <v>818</v>
      </c>
      <c r="C9" s="245">
        <f t="shared" si="0"/>
        <v>67241.279999999999</v>
      </c>
      <c r="D9" s="244">
        <v>67241.279999999999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15650</v>
      </c>
      <c r="D10" s="243"/>
      <c r="E10" s="244">
        <v>15650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220972</v>
      </c>
      <c r="D11" s="244">
        <f>65796+155176</f>
        <v>220972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918547.52999999991</v>
      </c>
      <c r="D12" s="20">
        <f>'DOE25'!L204+'DOE25'!L222+'DOE25'!L240-F12-G12</f>
        <v>900011.52999999991</v>
      </c>
      <c r="E12" s="243"/>
      <c r="F12" s="255">
        <f>'DOE25'!J204+'DOE25'!J222+'DOE25'!J240</f>
        <v>1550</v>
      </c>
      <c r="G12" s="53">
        <f>'DOE25'!K204+'DOE25'!K222+'DOE25'!K240</f>
        <v>16986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1501477.8800000001</v>
      </c>
      <c r="D14" s="20">
        <f>'DOE25'!L206+'DOE25'!L224+'DOE25'!L242-F14-G14</f>
        <v>1472818.78</v>
      </c>
      <c r="E14" s="243"/>
      <c r="F14" s="255">
        <f>'DOE25'!J206+'DOE25'!J224+'DOE25'!J242</f>
        <v>28659.1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625756.94999999995</v>
      </c>
      <c r="D15" s="20">
        <f>'DOE25'!L207+'DOE25'!L225+'DOE25'!L243-F15-G15</f>
        <v>625756.94999999995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42085.72</v>
      </c>
      <c r="D22" s="243"/>
      <c r="E22" s="243"/>
      <c r="F22" s="255">
        <f>'DOE25'!L254+'DOE25'!L335</f>
        <v>42085.72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911213.26</v>
      </c>
      <c r="D25" s="243"/>
      <c r="E25" s="243"/>
      <c r="F25" s="258"/>
      <c r="G25" s="256"/>
      <c r="H25" s="257">
        <f>'DOE25'!L259+'DOE25'!L260+'DOE25'!L340+'DOE25'!L341</f>
        <v>911213.26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182883.97000000003</v>
      </c>
      <c r="D29" s="20">
        <f>'DOE25'!L357+'DOE25'!L358+'DOE25'!L359-'DOE25'!I366-F29-G29</f>
        <v>177018.78000000003</v>
      </c>
      <c r="E29" s="243"/>
      <c r="F29" s="255">
        <f>'DOE25'!J357+'DOE25'!J358+'DOE25'!J359</f>
        <v>5036.1899999999996</v>
      </c>
      <c r="G29" s="53">
        <f>'DOE25'!K357+'DOE25'!K358+'DOE25'!K359</f>
        <v>829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455500.49</v>
      </c>
      <c r="D31" s="20">
        <f>'DOE25'!L289+'DOE25'!L308+'DOE25'!L327+'DOE25'!L332+'DOE25'!L333+'DOE25'!L334-F31-G31</f>
        <v>446374.49</v>
      </c>
      <c r="E31" s="243"/>
      <c r="F31" s="255">
        <f>'DOE25'!J289+'DOE25'!J308+'DOE25'!J327+'DOE25'!J332+'DOE25'!J333+'DOE25'!J334</f>
        <v>8670</v>
      </c>
      <c r="G31" s="53">
        <f>'DOE25'!K289+'DOE25'!K308+'DOE25'!K327+'DOE25'!K332+'DOE25'!K333+'DOE25'!K334</f>
        <v>456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14674344.379999997</v>
      </c>
      <c r="E33" s="246">
        <f>SUM(E5:E31)</f>
        <v>466343.40000000014</v>
      </c>
      <c r="F33" s="246">
        <f>SUM(F5:F31)</f>
        <v>255968.07</v>
      </c>
      <c r="G33" s="246">
        <f>SUM(G5:G31)</f>
        <v>49397.16</v>
      </c>
      <c r="H33" s="246">
        <f>SUM(H5:H31)</f>
        <v>911213.26</v>
      </c>
    </row>
    <row r="35" spans="2:8" ht="12" thickBot="1" x14ac:dyDescent="0.25">
      <c r="B35" s="253" t="s">
        <v>847</v>
      </c>
      <c r="D35" s="254">
        <f>E33</f>
        <v>466343.40000000014</v>
      </c>
      <c r="E35" s="249"/>
    </row>
    <row r="36" spans="2:8" ht="12" thickTop="1" x14ac:dyDescent="0.2">
      <c r="B36" t="s">
        <v>815</v>
      </c>
      <c r="D36" s="20">
        <f>D33</f>
        <v>14674344.379999997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E46" sqref="E4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Epping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765751.28</v>
      </c>
      <c r="D8" s="95">
        <f>'DOE25'!G9</f>
        <v>70703.69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82770.049999999988</v>
      </c>
      <c r="D11" s="95">
        <f>'DOE25'!G12</f>
        <v>0</v>
      </c>
      <c r="E11" s="95">
        <f>'DOE25'!H12</f>
        <v>1497.08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61620.13</v>
      </c>
      <c r="D12" s="95">
        <f>'DOE25'!G13</f>
        <v>32109.82</v>
      </c>
      <c r="E12" s="95">
        <f>'DOE25'!H13</f>
        <v>81957.87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300</v>
      </c>
      <c r="D13" s="95">
        <f>'DOE25'!G14</f>
        <v>314.5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43838.23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954279.69000000006</v>
      </c>
      <c r="D18" s="41">
        <f>SUM(D8:D17)</f>
        <v>103128.01000000001</v>
      </c>
      <c r="E18" s="41">
        <f>SUM(E8:E17)</f>
        <v>83454.95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1497.08</v>
      </c>
      <c r="D21" s="95">
        <f>'DOE25'!G22</f>
        <v>17156.07</v>
      </c>
      <c r="E21" s="95">
        <f>'DOE25'!H22</f>
        <v>65613.98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183116.01</v>
      </c>
      <c r="D23" s="95">
        <f>'DOE25'!G24</f>
        <v>301.14999999999998</v>
      </c>
      <c r="E23" s="95">
        <f>'DOE25'!H24</f>
        <v>10598.55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397087.35999999993</v>
      </c>
      <c r="D27" s="95">
        <f>'DOE25'!G28</f>
        <v>5241.2</v>
      </c>
      <c r="E27" s="95">
        <f>'DOE25'!H28</f>
        <v>5836.31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160703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742403.45</v>
      </c>
      <c r="D31" s="41">
        <f>SUM(D21:D30)</f>
        <v>22698.420000000002</v>
      </c>
      <c r="E31" s="41">
        <f>SUM(E21:E30)</f>
        <v>82048.84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80429.59</v>
      </c>
      <c r="E46" s="95">
        <f>'DOE25'!H47</f>
        <v>1406.11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'DOE25'!H47</f>
        <v>1406.11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161876.23999999993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211876.23999999993</v>
      </c>
      <c r="D49" s="41">
        <f>SUM(D34:D48)</f>
        <v>80429.59</v>
      </c>
      <c r="E49" s="41">
        <f>SUM(E34:E48)</f>
        <v>2812.22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954279.69</v>
      </c>
      <c r="D50" s="41">
        <f>D49+D31</f>
        <v>103128.01</v>
      </c>
      <c r="E50" s="41">
        <f>E49+E31</f>
        <v>84861.06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10156807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99955.91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115.15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216119.69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117001.61</v>
      </c>
      <c r="D60" s="95">
        <f>SUM('DOE25'!G97:G109)</f>
        <v>0</v>
      </c>
      <c r="E60" s="95">
        <f>SUM('DOE25'!H97:H109)</f>
        <v>1200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216957.52000000002</v>
      </c>
      <c r="D61" s="130">
        <f>SUM(D56:D60)</f>
        <v>216234.84</v>
      </c>
      <c r="E61" s="130">
        <f>SUM(E56:E60)</f>
        <v>1200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10373764.52</v>
      </c>
      <c r="D62" s="22">
        <f>D55+D61</f>
        <v>216234.84</v>
      </c>
      <c r="E62" s="22">
        <f>E55+E61</f>
        <v>1200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3138805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1483023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4621828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211874.6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31752.78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8144.52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4992.6400000000003</v>
      </c>
      <c r="D76" s="95">
        <f>SUM('DOE25'!G130:G134)</f>
        <v>4330.53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256764.54</v>
      </c>
      <c r="D77" s="130">
        <f>SUM(D71:D76)</f>
        <v>4330.53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4878592.54</v>
      </c>
      <c r="D80" s="130">
        <f>SUM(D78:D79)+D77+D69</f>
        <v>4330.53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126486.93</v>
      </c>
      <c r="D87" s="95">
        <f>SUM('DOE25'!G152:G160)</f>
        <v>158259.29999999999</v>
      </c>
      <c r="E87" s="95">
        <f>SUM('DOE25'!H152:H160)</f>
        <v>470920.19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126486.93</v>
      </c>
      <c r="D90" s="131">
        <f>SUM(D84:D89)</f>
        <v>158259.29999999999</v>
      </c>
      <c r="E90" s="131">
        <f>SUM(E84:E89)</f>
        <v>470920.19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17339.23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17339.23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15396183.219999999</v>
      </c>
      <c r="D103" s="86">
        <f>D62+D80+D90+D102</f>
        <v>378824.67</v>
      </c>
      <c r="E103" s="86">
        <f>E62+E80+E90+E102</f>
        <v>472120.19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5666534.7300000004</v>
      </c>
      <c r="D108" s="24" t="s">
        <v>289</v>
      </c>
      <c r="E108" s="95">
        <f>('DOE25'!L275)+('DOE25'!L294)+('DOE25'!L313)</f>
        <v>142566.96999999997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2821661.9499999997</v>
      </c>
      <c r="D109" s="24" t="s">
        <v>289</v>
      </c>
      <c r="E109" s="95">
        <f>('DOE25'!L276)+('DOE25'!L295)+('DOE25'!L314)</f>
        <v>144869.79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94905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310602.53999999998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8893704.2199999988</v>
      </c>
      <c r="D114" s="86">
        <f>SUM(D108:D113)</f>
        <v>0</v>
      </c>
      <c r="E114" s="86">
        <f>SUM(E108:E113)</f>
        <v>287436.76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1221598.4499999997</v>
      </c>
      <c r="D117" s="24" t="s">
        <v>289</v>
      </c>
      <c r="E117" s="95">
        <f>+('DOE25'!L280)+('DOE25'!L299)+('DOE25'!L318)</f>
        <v>20276.060000000001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831876.41</v>
      </c>
      <c r="D118" s="24" t="s">
        <v>289</v>
      </c>
      <c r="E118" s="95">
        <f>+('DOE25'!L281)+('DOE25'!L300)+('DOE25'!L319)</f>
        <v>144087.66999999998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756971.39000000013</v>
      </c>
      <c r="D119" s="24" t="s">
        <v>289</v>
      </c>
      <c r="E119" s="95">
        <f>+('DOE25'!L282)+('DOE25'!L301)+('DOE25'!L320)</f>
        <v>2500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918547.52999999991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1501477.8800000001</v>
      </c>
      <c r="D122" s="24" t="s">
        <v>289</v>
      </c>
      <c r="E122" s="95">
        <f>+('DOE25'!L285)+('DOE25'!L304)+('DOE25'!L323)</f>
        <v>1200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625756.94999999995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349289.33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5856228.6100000003</v>
      </c>
      <c r="D127" s="86">
        <f>SUM(D117:D126)</f>
        <v>349289.33</v>
      </c>
      <c r="E127" s="86">
        <f>SUM(E117:E126)</f>
        <v>168063.72999999998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42085.72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495000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416213.26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17339.23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953298.98</v>
      </c>
      <c r="D143" s="141">
        <f>SUM(D129:D142)</f>
        <v>0</v>
      </c>
      <c r="E143" s="141">
        <f>SUM(E129:E142)</f>
        <v>17339.23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15703231.809999999</v>
      </c>
      <c r="D144" s="86">
        <f>(D114+D127+D143)</f>
        <v>349289.33</v>
      </c>
      <c r="E144" s="86">
        <f>(E114+E127+E143)</f>
        <v>472839.72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08/15/2005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08/15/2025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12072350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9570000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9570000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495000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495000</v>
      </c>
    </row>
    <row r="158" spans="1:9" x14ac:dyDescent="0.2">
      <c r="A158" s="22" t="s">
        <v>35</v>
      </c>
      <c r="B158" s="137">
        <f>'DOE25'!F497</f>
        <v>9075000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9075000</v>
      </c>
    </row>
    <row r="159" spans="1:9" x14ac:dyDescent="0.2">
      <c r="A159" s="22" t="s">
        <v>36</v>
      </c>
      <c r="B159" s="137">
        <f>'DOE25'!F498</f>
        <v>2891856.6100000003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2891856.6100000003</v>
      </c>
    </row>
    <row r="160" spans="1:9" x14ac:dyDescent="0.2">
      <c r="A160" s="22" t="s">
        <v>37</v>
      </c>
      <c r="B160" s="137">
        <f>'DOE25'!F499</f>
        <v>11966856.609999999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11966856.609999999</v>
      </c>
    </row>
    <row r="161" spans="1:7" x14ac:dyDescent="0.2">
      <c r="A161" s="22" t="s">
        <v>38</v>
      </c>
      <c r="B161" s="137">
        <f>'DOE25'!F500</f>
        <v>520000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520000</v>
      </c>
    </row>
    <row r="162" spans="1:7" x14ac:dyDescent="0.2">
      <c r="A162" s="22" t="s">
        <v>39</v>
      </c>
      <c r="B162" s="137">
        <f>'DOE25'!F501</f>
        <v>390838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390838</v>
      </c>
    </row>
    <row r="163" spans="1:7" x14ac:dyDescent="0.2">
      <c r="A163" s="22" t="s">
        <v>246</v>
      </c>
      <c r="B163" s="137">
        <f>'DOE25'!F502</f>
        <v>910838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910838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Epping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13551</v>
      </c>
    </row>
    <row r="5" spans="1:4" x14ac:dyDescent="0.2">
      <c r="B5" t="s">
        <v>704</v>
      </c>
      <c r="C5" s="179">
        <f>IF('DOE25'!G664+'DOE25'!G669=0,0,ROUND('DOE25'!G671,0))</f>
        <v>14314</v>
      </c>
    </row>
    <row r="6" spans="1:4" x14ac:dyDescent="0.2">
      <c r="B6" t="s">
        <v>62</v>
      </c>
      <c r="C6" s="179">
        <f>IF('DOE25'!H664+'DOE25'!H669=0,0,ROUND('DOE25'!H671,0))</f>
        <v>14702</v>
      </c>
    </row>
    <row r="7" spans="1:4" x14ac:dyDescent="0.2">
      <c r="B7" t="s">
        <v>705</v>
      </c>
      <c r="C7" s="179">
        <f>IF('DOE25'!I664+'DOE25'!I669=0,0,ROUND('DOE25'!I671,0))</f>
        <v>14047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5809102</v>
      </c>
      <c r="D10" s="182">
        <f>ROUND((C10/$C$28)*100,1)</f>
        <v>36.9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2966532</v>
      </c>
      <c r="D11" s="182">
        <f>ROUND((C11/$C$28)*100,1)</f>
        <v>18.8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94905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310603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1241875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975964</v>
      </c>
      <c r="D16" s="182">
        <f t="shared" si="0"/>
        <v>6.2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759471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918548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1502678</v>
      </c>
      <c r="D20" s="182">
        <f t="shared" si="0"/>
        <v>9.5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625757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416213</v>
      </c>
      <c r="D25" s="182">
        <f t="shared" si="0"/>
        <v>2.6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133169.31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15754817.310000001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42086</v>
      </c>
    </row>
    <row r="30" spans="1:4" x14ac:dyDescent="0.2">
      <c r="B30" s="187" t="s">
        <v>729</v>
      </c>
      <c r="C30" s="180">
        <f>SUM(C28:C29)</f>
        <v>15796903.310000001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495000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10156807</v>
      </c>
      <c r="D35" s="182">
        <f t="shared" ref="D35:D40" si="1">ROUND((C35/$C$41)*100,1)</f>
        <v>63.4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218272.66999999993</v>
      </c>
      <c r="D36" s="182">
        <f t="shared" si="1"/>
        <v>1.4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4621828</v>
      </c>
      <c r="D37" s="182">
        <f t="shared" si="1"/>
        <v>28.9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261095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755666</v>
      </c>
      <c r="D39" s="182">
        <f t="shared" si="1"/>
        <v>4.7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16013668.67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Epping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2013-07-25T15:44:18Z</cp:lastPrinted>
  <dcterms:created xsi:type="dcterms:W3CDTF">1997-12-04T19:04:30Z</dcterms:created>
  <dcterms:modified xsi:type="dcterms:W3CDTF">2013-12-05T18:39:52Z</dcterms:modified>
</cp:coreProperties>
</file>