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6" i="1" l="1"/>
  <c r="G496" i="1"/>
  <c r="F496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E8" i="13" s="1"/>
  <c r="C8" i="13" s="1"/>
  <c r="L239" i="1"/>
  <c r="D39" i="13"/>
  <c r="F13" i="13"/>
  <c r="G13" i="13"/>
  <c r="L205" i="1"/>
  <c r="L223" i="1"/>
  <c r="L241" i="1"/>
  <c r="C19" i="10" s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D12" i="13" s="1"/>
  <c r="C12" i="13" s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7" i="10"/>
  <c r="L249" i="1"/>
  <c r="L331" i="1"/>
  <c r="C23" i="10" s="1"/>
  <c r="L253" i="1"/>
  <c r="L267" i="1"/>
  <c r="L268" i="1"/>
  <c r="L348" i="1"/>
  <c r="L349" i="1"/>
  <c r="I664" i="1"/>
  <c r="I669" i="1"/>
  <c r="L210" i="1"/>
  <c r="F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F551" i="1" s="1"/>
  <c r="L525" i="1"/>
  <c r="G548" i="1" s="1"/>
  <c r="L526" i="1"/>
  <c r="G549" i="1" s="1"/>
  <c r="G551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E18" i="2" s="1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D31" i="2" s="1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E118" i="2"/>
  <c r="C119" i="2"/>
  <c r="E119" i="2"/>
  <c r="C120" i="2"/>
  <c r="E120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G159" i="2" s="1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G161" i="2" s="1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J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F451" i="1"/>
  <c r="G451" i="1"/>
  <c r="H451" i="1"/>
  <c r="I451" i="1"/>
  <c r="F459" i="1"/>
  <c r="F460" i="1" s="1"/>
  <c r="H638" i="1" s="1"/>
  <c r="G459" i="1"/>
  <c r="G460" i="1" s="1"/>
  <c r="H639" i="1" s="1"/>
  <c r="H459" i="1"/>
  <c r="I459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H570" i="1" s="1"/>
  <c r="I559" i="1"/>
  <c r="J559" i="1"/>
  <c r="K559" i="1"/>
  <c r="L561" i="1"/>
  <c r="L562" i="1"/>
  <c r="L563" i="1"/>
  <c r="L564" i="1" s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8" i="1"/>
  <c r="G619" i="1"/>
  <c r="G621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G640" i="1"/>
  <c r="H640" i="1"/>
  <c r="G641" i="1"/>
  <c r="H641" i="1"/>
  <c r="G642" i="1"/>
  <c r="H642" i="1"/>
  <c r="G643" i="1"/>
  <c r="H643" i="1"/>
  <c r="G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C18" i="2"/>
  <c r="F31" i="2"/>
  <c r="C26" i="10"/>
  <c r="L327" i="1"/>
  <c r="L350" i="1"/>
  <c r="L289" i="1"/>
  <c r="F659" i="1" s="1"/>
  <c r="A31" i="12"/>
  <c r="C69" i="2"/>
  <c r="A40" i="12"/>
  <c r="E49" i="2"/>
  <c r="D18" i="13"/>
  <c r="C18" i="13" s="1"/>
  <c r="F102" i="2"/>
  <c r="D18" i="2"/>
  <c r="D17" i="13"/>
  <c r="C17" i="13" s="1"/>
  <c r="D6" i="13"/>
  <c r="C6" i="13" s="1"/>
  <c r="G158" i="2"/>
  <c r="C90" i="2"/>
  <c r="G80" i="2"/>
  <c r="F77" i="2"/>
  <c r="F80" i="2" s="1"/>
  <c r="F61" i="2"/>
  <c r="F62" i="2" s="1"/>
  <c r="C77" i="2"/>
  <c r="D49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H111" i="1"/>
  <c r="F111" i="1"/>
  <c r="J640" i="1"/>
  <c r="K604" i="1"/>
  <c r="G647" i="1" s="1"/>
  <c r="J570" i="1"/>
  <c r="K570" i="1"/>
  <c r="L432" i="1"/>
  <c r="L418" i="1"/>
  <c r="D80" i="2"/>
  <c r="I168" i="1"/>
  <c r="H168" i="1"/>
  <c r="J643" i="1"/>
  <c r="J642" i="1"/>
  <c r="I475" i="1"/>
  <c r="H624" i="1" s="1"/>
  <c r="J624" i="1" s="1"/>
  <c r="G475" i="1"/>
  <c r="H622" i="1" s="1"/>
  <c r="F168" i="1"/>
  <c r="J139" i="1"/>
  <c r="I551" i="1"/>
  <c r="K548" i="1"/>
  <c r="G22" i="2"/>
  <c r="K544" i="1"/>
  <c r="J551" i="1"/>
  <c r="C29" i="10"/>
  <c r="H139" i="1"/>
  <c r="L400" i="1"/>
  <c r="C138" i="2" s="1"/>
  <c r="L392" i="1"/>
  <c r="F22" i="13"/>
  <c r="H25" i="13"/>
  <c r="C25" i="13" s="1"/>
  <c r="L559" i="1"/>
  <c r="J544" i="1"/>
  <c r="H337" i="1"/>
  <c r="H351" i="1" s="1"/>
  <c r="F337" i="1"/>
  <c r="F351" i="1" s="1"/>
  <c r="G191" i="1"/>
  <c r="H191" i="1"/>
  <c r="E127" i="2"/>
  <c r="C35" i="10"/>
  <c r="L308" i="1"/>
  <c r="D5" i="13"/>
  <c r="C5" i="13" s="1"/>
  <c r="E16" i="13"/>
  <c r="C49" i="2"/>
  <c r="J654" i="1"/>
  <c r="I570" i="1"/>
  <c r="I544" i="1"/>
  <c r="J635" i="1"/>
  <c r="G36" i="2"/>
  <c r="H544" i="1"/>
  <c r="K550" i="1"/>
  <c r="C22" i="13"/>
  <c r="C137" i="2"/>
  <c r="C16" i="13"/>
  <c r="H33" i="13"/>
  <c r="L543" i="1" l="1"/>
  <c r="K549" i="1"/>
  <c r="K551" i="1" s="1"/>
  <c r="H551" i="1"/>
  <c r="G544" i="1"/>
  <c r="L528" i="1"/>
  <c r="L544" i="1" s="1"/>
  <c r="L569" i="1"/>
  <c r="F570" i="1"/>
  <c r="A13" i="12"/>
  <c r="D15" i="13"/>
  <c r="C15" i="13" s="1"/>
  <c r="C21" i="10"/>
  <c r="C20" i="10"/>
  <c r="C121" i="2"/>
  <c r="D7" i="13"/>
  <c r="C7" i="13" s="1"/>
  <c r="C117" i="2"/>
  <c r="C109" i="2"/>
  <c r="C114" i="2" s="1"/>
  <c r="C16" i="10"/>
  <c r="C15" i="10"/>
  <c r="G661" i="1"/>
  <c r="I661" i="1" s="1"/>
  <c r="K597" i="1"/>
  <c r="G646" i="1" s="1"/>
  <c r="J646" i="1" s="1"/>
  <c r="J650" i="1"/>
  <c r="J633" i="1"/>
  <c r="H475" i="1"/>
  <c r="H623" i="1" s="1"/>
  <c r="J623" i="1" s="1"/>
  <c r="J639" i="1"/>
  <c r="J638" i="1"/>
  <c r="G622" i="1"/>
  <c r="J622" i="1" s="1"/>
  <c r="F475" i="1"/>
  <c r="H621" i="1" s="1"/>
  <c r="J621" i="1" s="1"/>
  <c r="J475" i="1"/>
  <c r="H625" i="1" s="1"/>
  <c r="G163" i="2"/>
  <c r="G160" i="2"/>
  <c r="K499" i="1"/>
  <c r="E50" i="2"/>
  <c r="C50" i="2"/>
  <c r="G337" i="1"/>
  <c r="G351" i="1" s="1"/>
  <c r="J256" i="1"/>
  <c r="J270" i="1" s="1"/>
  <c r="E33" i="13"/>
  <c r="D35" i="13" s="1"/>
  <c r="L361" i="1"/>
  <c r="F660" i="1"/>
  <c r="F663" i="1" s="1"/>
  <c r="F671" i="1" s="1"/>
  <c r="C4" i="10" s="1"/>
  <c r="L246" i="1"/>
  <c r="H659" i="1" s="1"/>
  <c r="H256" i="1"/>
  <c r="H270" i="1" s="1"/>
  <c r="L228" i="1"/>
  <c r="G659" i="1" s="1"/>
  <c r="L336" i="1"/>
  <c r="L337" i="1" s="1"/>
  <c r="L351" i="1" s="1"/>
  <c r="G632" i="1" s="1"/>
  <c r="J632" i="1" s="1"/>
  <c r="C61" i="2"/>
  <c r="C62" i="2" s="1"/>
  <c r="F256" i="1"/>
  <c r="F270" i="1" s="1"/>
  <c r="G256" i="1"/>
  <c r="G270" i="1" s="1"/>
  <c r="E144" i="2"/>
  <c r="I256" i="1"/>
  <c r="I270" i="1" s="1"/>
  <c r="H660" i="1"/>
  <c r="G660" i="1"/>
  <c r="D144" i="2"/>
  <c r="C10" i="10"/>
  <c r="C18" i="10"/>
  <c r="C80" i="2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J641" i="1"/>
  <c r="G570" i="1"/>
  <c r="I433" i="1"/>
  <c r="G433" i="1"/>
  <c r="I662" i="1"/>
  <c r="C27" i="10"/>
  <c r="G634" i="1"/>
  <c r="J634" i="1" s="1"/>
  <c r="C127" i="2" l="1"/>
  <c r="H645" i="1"/>
  <c r="L256" i="1"/>
  <c r="L270" i="1" s="1"/>
  <c r="G631" i="1" s="1"/>
  <c r="J631" i="1" s="1"/>
  <c r="F666" i="1"/>
  <c r="C103" i="2"/>
  <c r="I660" i="1"/>
  <c r="G663" i="1"/>
  <c r="G671" i="1" s="1"/>
  <c r="C5" i="10" s="1"/>
  <c r="H663" i="1"/>
  <c r="H671" i="1" s="1"/>
  <c r="C6" i="10" s="1"/>
  <c r="C28" i="10"/>
  <c r="D23" i="10" s="1"/>
  <c r="C144" i="2"/>
  <c r="I659" i="1"/>
  <c r="I663" i="1" s="1"/>
  <c r="I671" i="1" s="1"/>
  <c r="C7" i="10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G666" i="1" l="1"/>
  <c r="H666" i="1"/>
  <c r="D22" i="10"/>
  <c r="D20" i="10"/>
  <c r="D11" i="10"/>
  <c r="D13" i="10"/>
  <c r="D24" i="10"/>
  <c r="D17" i="10"/>
  <c r="D27" i="10"/>
  <c r="D18" i="10"/>
  <c r="D25" i="10"/>
  <c r="D10" i="10"/>
  <c r="D26" i="10"/>
  <c r="D12" i="10"/>
  <c r="D15" i="10"/>
  <c r="D21" i="10"/>
  <c r="D19" i="10"/>
  <c r="C30" i="10"/>
  <c r="D16" i="10"/>
  <c r="I666" i="1"/>
  <c r="H655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<sst xmlns="http://schemas.openxmlformats.org/spreadsheetml/2006/main" count="3954" uniqueCount="919">
  <si>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</si>
  <si>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</si>
  <si>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</si>
  <si>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</si>
  <si>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</si>
  <si>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</si>
  <si>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</si>
  <si>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</si>
  <si>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</si>
  <si>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</si>
  <si>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</si>
  <si>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</si>
  <si>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</si>
  <si>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</si>
  <si>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</si>
  <si>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</si>
  <si>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</si>
  <si>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</si>
  <si>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</si>
  <si>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</si>
  <si>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</si>
  <si>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</si>
  <si>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</si>
  <si>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</si>
  <si>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</si>
  <si>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</si>
  <si>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</si>
  <si>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</si>
  <si>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</si>
  <si>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</si>
  <si>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</si>
  <si>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</si>
  <si>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</si>
  <si>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</si>
  <si>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</si>
  <si>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</si>
  <si>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</si>
  <si>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</si>
  <si>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</si>
  <si>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</si>
  <si>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</si>
  <si>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</si>
  <si>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</si>
  <si>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</si>
  <si>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</si>
  <si>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</si>
  <si>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</si>
  <si>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</si>
  <si>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</si>
  <si>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</si>
  <si>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</si>
  <si>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</si>
  <si>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</si>
  <si>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</si>
  <si>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</si>
  <si>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</si>
  <si>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</si>
  <si>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</si>
  <si>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</si>
  <si>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</si>
  <si>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</si>
  <si>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</si>
  <si>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</si>
  <si>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</si>
  <si>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</si>
  <si>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</si>
  <si>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</si>
  <si>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</si>
  <si>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</si>
  <si>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</si>
  <si>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</si>
  <si>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</si>
  <si>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</si>
  <si>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</si>
  <si>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</si>
  <si>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</si>
  <si>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</si>
  <si>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</si>
  <si>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</si>
  <si>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</si>
  <si>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</si>
  <si>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</si>
  <si>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</si>
  <si>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</si>
  <si>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</si>
  <si>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</si>
  <si>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</si>
  <si>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</si>
  <si>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</si>
  <si>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</si>
  <si>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</si>
  <si>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</si>
  <si>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</si>
  <si>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</si>
  <si>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</si>
  <si>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</si>
  <si>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</si>
  <si>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</si>
  <si>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</si>
  <si>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</si>
  <si>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</si>
  <si>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</si>
  <si>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</si>
  <si>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</si>
  <si>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</si>
  <si>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</si>
  <si>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</si>
  <si>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</si>
  <si>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</si>
  <si>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</si>
  <si>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</si>
  <si>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</si>
  <si>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</si>
  <si>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</si>
  <si>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</si>
  <si>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</si>
  <si>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</si>
  <si>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</si>
  <si>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</si>
  <si>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</si>
  <si>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</si>
  <si>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</si>
  <si>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</si>
  <si>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</si>
  <si>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</si>
  <si>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</si>
  <si>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</si>
  <si>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</si>
  <si>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</si>
  <si>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</si>
  <si>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</si>
  <si>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</si>
  <si>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</si>
  <si>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</si>
  <si>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</si>
  <si>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</si>
  <si>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</si>
  <si>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</si>
  <si>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</si>
  <si>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</si>
  <si>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</si>
  <si>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</si>
  <si>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</si>
  <si>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</si>
  <si>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</si>
  <si>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</si>
  <si>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</si>
  <si>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</si>
  <si>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</si>
  <si>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</si>
  <si>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</si>
  <si>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</si>
  <si>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</si>
  <si>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</si>
  <si>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</si>
  <si>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</si>
  <si>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</si>
  <si>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</si>
  <si>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</si>
  <si>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</si>
  <si>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</si>
  <si>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</si>
  <si>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</si>
  <si>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</si>
  <si>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</si>
  <si>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</si>
  <si>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</si>
  <si>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</si>
  <si>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</si>
  <si>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</si>
  <si>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</si>
  <si>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</si>
  <si>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</si>
  <si>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</si>
  <si>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</si>
  <si>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</si>
  <si>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</si>
  <si>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</si>
  <si>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</si>
  <si>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</si>
  <si>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</si>
  <si>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</si>
  <si>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</si>
  <si>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</si>
  <si>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</si>
  <si>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</si>
  <si>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</si>
  <si>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</si>
  <si>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</si>
  <si>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</si>
  <si>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</si>
  <si>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</si>
  <si>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</si>
  <si>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</si>
  <si>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</si>
  <si>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</si>
  <si>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</si>
  <si>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</si>
  <si>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</si>
  <si>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</si>
  <si>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</si>
  <si>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</si>
  <si>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</si>
  <si>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</si>
  <si>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</si>
  <si>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</si>
  <si>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</si>
  <si>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</si>
  <si>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</si>
  <si>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</si>
  <si>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</si>
  <si>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</si>
  <si>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</si>
  <si>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</si>
  <si>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</si>
  <si>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</si>
  <si>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</si>
  <si>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</si>
  <si>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</si>
  <si>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</si>
  <si>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</si>
  <si>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</si>
  <si>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</si>
  <si>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</si>
  <si>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</si>
  <si>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</si>
  <si>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</si>
  <si>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</si>
  <si>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</si>
  <si>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</si>
  <si>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</si>
  <si>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</si>
  <si>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</si>
  <si>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</si>
  <si>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</si>
  <si>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</si>
  <si>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</si>
  <si>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</si>
  <si>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</si>
  <si>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</si>
  <si>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</si>
  <si>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</si>
  <si>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</si>
  <si>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</si>
  <si>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</si>
  <si>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</si>
  <si>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</si>
  <si>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</si>
  <si>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</si>
  <si>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</si>
  <si>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</si>
  <si>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</si>
  <si>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</si>
  <si>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</si>
  <si>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</si>
  <si>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</si>
  <si>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</si>
  <si>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</si>
  <si>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</si>
  <si>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</si>
  <si>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</si>
  <si>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</si>
  <si>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</si>
  <si>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</si>
  <si>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</si>
  <si>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</si>
  <si>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</si>
  <si>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</si>
  <si>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</si>
  <si>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</si>
  <si>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</si>
  <si>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</si>
  <si>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</si>
  <si>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</si>
  <si>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</si>
  <si>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</si>
  <si>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</si>
  <si>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</si>
  <si>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</si>
  <si>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</si>
  <si>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</si>
  <si>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</si>
  <si>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</si>
  <si>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</si>
  <si>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</si>
  <si>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</si>
  <si>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</si>
  <si>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</si>
  <si>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</si>
  <si>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</si>
  <si>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</si>
  <si>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</si>
  <si>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</si>
  <si>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</si>
  <si>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</si>
  <si>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</si>
  <si>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</si>
  <si>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</si>
  <si>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</si>
  <si>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</si>
  <si>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</si>
  <si>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</si>
  <si>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</si>
  <si>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</si>
  <si>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</si>
  <si>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</si>
  <si>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</si>
  <si>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</si>
  <si>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</si>
  <si>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</si>
  <si>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</si>
  <si>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</si>
  <si>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</si>
  <si>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</si>
  <si>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</si>
  <si>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</si>
  <si>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</si>
  <si>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</si>
  <si>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</si>
  <si>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</si>
  <si>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</si>
  <si>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</si>
  <si>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</si>
  <si>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</si>
  <si>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</si>
  <si>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</si>
  <si>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</si>
  <si>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</si>
  <si>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</si>
  <si>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</si>
  <si>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</si>
  <si>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</si>
  <si>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</si>
  <si>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</si>
  <si>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</si>
  <si>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</si>
  <si>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</si>
  <si>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</si>
  <si>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</si>
  <si>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</si>
  <si>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</si>
  <si>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</si>
  <si>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</si>
  <si>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</si>
  <si>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</si>
  <si>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</si>
  <si>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</si>
  <si>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</si>
  <si>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</si>
  <si>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</si>
  <si>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</si>
  <si>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</si>
  <si>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</si>
  <si>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</si>
  <si>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</si>
  <si>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</si>
  <si>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</si>
  <si>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</si>
  <si>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</si>
  <si>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</si>
  <si>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</si>
  <si>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</si>
  <si>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</si>
  <si>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</si>
  <si>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</si>
  <si>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</si>
  <si>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</si>
  <si>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</si>
  <si>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</si>
  <si>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</si>
  <si>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</si>
  <si>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</si>
  <si>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</si>
  <si>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</si>
  <si>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</si>
  <si>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</si>
  <si>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</si>
  <si>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</si>
  <si>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</si>
  <si>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</si>
  <si>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</si>
  <si>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</si>
  <si>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</si>
  <si>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</si>
  <si>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</si>
  <si>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</si>
  <si>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</si>
  <si>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</si>
  <si>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</si>
  <si>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</si>
  <si>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</si>
  <si>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</si>
  <si>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</si>
  <si>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</si>
  <si>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</si>
  <si>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</si>
  <si>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</si>
  <si>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</si>
  <si>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</si>
  <si>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</si>
  <si>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</si>
  <si>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</si>
  <si>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</si>
  <si>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</si>
  <si>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</si>
  <si>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</si>
  <si>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</si>
  <si>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</si>
  <si>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</si>
  <si>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</si>
  <si>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</si>
  <si>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</si>
  <si>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</si>
  <si>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</si>
  <si>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</si>
  <si>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</si>
  <si>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</si>
  <si>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</si>
  <si>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</si>
  <si>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</si>
  <si>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</si>
  <si>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</si>
  <si>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</si>
  <si>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</si>
  <si>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</si>
  <si>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</si>
  <si>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</si>
  <si>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</si>
  <si>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</si>
  <si>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</si>
  <si>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</si>
  <si>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</si>
  <si>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</si>
  <si>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</si>
  <si>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</si>
  <si>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</si>
  <si>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</si>
  <si>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</si>
  <si>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</si>
  <si>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</si>
  <si>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</si>
  <si>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</si>
  <si>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</si>
  <si>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</si>
  <si>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</si>
  <si>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</si>
  <si>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</si>
  <si>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</si>
  <si>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</si>
  <si>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</si>
  <si>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</si>
  <si>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</si>
  <si>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</si>
  <si>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</si>
  <si>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</si>
  <si>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</si>
  <si>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</si>
  <si>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</si>
  <si>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</si>
  <si>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</si>
  <si>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</si>
  <si>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</si>
  <si>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</si>
  <si>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</si>
  <si>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</si>
  <si>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</si>
  <si>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</si>
  <si>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</si>
  <si>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</si>
  <si>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</si>
  <si>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</si>
  <si>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</si>
  <si>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</si>
  <si>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</si>
  <si>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</si>
  <si>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</si>
  <si>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</si>
  <si>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</si>
  <si>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</si>
  <si>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</si>
  <si>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</si>
  <si>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</si>
  <si>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</si>
  <si>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</si>
  <si>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</si>
  <si>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</si>
  <si>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</si>
  <si>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</si>
  <si>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</si>
  <si>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</si>
  <si>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</si>
  <si>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</si>
  <si>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</si>
  <si>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</si>
  <si>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</si>
  <si>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</si>
  <si>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</si>
  <si>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</si>
  <si>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</si>
  <si>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</si>
  <si>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</si>
  <si>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</si>
  <si>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</si>
  <si>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</si>
  <si>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</si>
  <si>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</si>
  <si>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</si>
  <si>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</si>
  <si>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</si>
  <si>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</si>
  <si>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</si>
  <si>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</si>
  <si>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</si>
  <si>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</si>
  <si>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</si>
  <si>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</si>
  <si>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</si>
  <si>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</si>
  <si>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</si>
  <si>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</si>
  <si>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</si>
  <si>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</si>
  <si>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</si>
  <si>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</si>
  <si>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</si>
  <si>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</si>
  <si>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</si>
  <si>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</si>
  <si>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</si>
  <si>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</si>
  <si>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</si>
  <si>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</si>
  <si>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</si>
  <si>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</si>
  <si>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</si>
  <si>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</si>
  <si>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</si>
  <si>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</si>
  <si>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</si>
  <si>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</si>
  <si>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</si>
  <si>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</si>
  <si>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</si>
  <si>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</si>
  <si>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</si>
  <si>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</si>
  <si>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</si>
  <si>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</si>
  <si>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</si>
  <si>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</si>
  <si>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</si>
  <si>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</si>
  <si>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</si>
  <si>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</si>
  <si>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</si>
  <si>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</si>
  <si>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</si>
  <si>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</si>
  <si>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</si>
  <si>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</si>
  <si>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</si>
  <si>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</si>
  <si>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</si>
  <si>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</si>
  <si>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</si>
  <si>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</si>
  <si>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</si>
  <si>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</si>
  <si>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</si>
  <si>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</si>
  <si>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</si>
  <si>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</si>
  <si>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</si>
  <si>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</si>
  <si>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</si>
  <si>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</si>
  <si>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</si>
  <si>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</si>
  <si>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</si>
  <si>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</si>
  <si>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</si>
  <si>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</si>
  <si>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</si>
  <si>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</si>
  <si>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</si>
  <si>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</si>
  <si>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</si>
  <si>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</si>
  <si>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</si>
  <si>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</si>
  <si>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</si>
  <si>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</si>
  <si>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</si>
  <si>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</si>
  <si>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</si>
  <si>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</si>
  <si>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</si>
  <si>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</si>
  <si>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</si>
  <si>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</si>
  <si>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</si>
  <si>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</si>
  <si>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</si>
  <si>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</si>
  <si>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</si>
  <si>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</si>
  <si>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</si>
  <si>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</si>
  <si>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</si>
  <si>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</si>
  <si>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</si>
  <si>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</si>
  <si>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</si>
  <si>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</si>
  <si>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</si>
  <si>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</si>
  <si>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</si>
  <si>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</si>
  <si>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</si>
  <si>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</si>
  <si>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</si>
  <si>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</si>
  <si>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</si>
  <si>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</si>
  <si>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</si>
  <si>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</si>
  <si>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</si>
  <si>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</si>
  <si>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</si>
  <si>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</si>
  <si>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</si>
  <si>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</si>
  <si>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</si>
  <si>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</si>
  <si>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</si>
  <si>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</si>
  <si>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</si>
  <si>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</si>
  <si>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</si>
  <si>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</si>
  <si>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</si>
  <si>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</si>
  <si>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</si>
  <si>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</si>
  <si>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</si>
  <si>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</si>
  <si>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</si>
  <si>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</si>
  <si>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</si>
  <si>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</si>
  <si>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</si>
  <si>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</si>
  <si>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</si>
  <si>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</si>
  <si>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</si>
  <si>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</si>
  <si>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</si>
  <si>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</si>
  <si>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</si>
  <si>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</si>
  <si>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</si>
  <si>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</si>
  <si>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</si>
  <si>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</si>
  <si>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</si>
  <si>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</si>
  <si>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</si>
  <si>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</si>
  <si>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</si>
  <si>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</si>
  <si>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</si>
  <si>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</si>
  <si>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</si>
  <si>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</si>
  <si>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</si>
  <si>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</si>
  <si>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</si>
  <si>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</si>
  <si>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</si>
  <si>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</si>
  <si>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</si>
  <si>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</si>
  <si>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</si>
  <si>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</si>
  <si>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</si>
  <si>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</si>
  <si>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</si>
  <si>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</si>
  <si>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</si>
  <si>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</si>
  <si>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</si>
  <si>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</si>
  <si>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</si>
  <si>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</si>
  <si>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</si>
  <si>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</si>
  <si>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</si>
  <si>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</si>
  <si>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</si>
  <si>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</si>
  <si>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</si>
  <si>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</si>
  <si>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</si>
  <si>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</si>
  <si>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</si>
  <si>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</si>
  <si>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</si>
  <si>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</si>
  <si>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</si>
  <si>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</si>
  <si>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</si>
  <si>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</si>
  <si>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</si>
  <si>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</si>
  <si>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</si>
  <si>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</si>
  <si>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</si>
  <si>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</si>
  <si>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</si>
  <si>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</si>
  <si>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</si>
  <si>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</si>
  <si>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</si>
  <si>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</si>
  <si>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</si>
  <si>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</si>
  <si>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</si>
  <si>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</si>
  <si>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</si>
  <si>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</si>
  <si>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</si>
  <si>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</si>
  <si>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</si>
  <si>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</si>
  <si>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</si>
  <si>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</si>
  <si>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</si>
  <si>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</si>
  <si>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</si>
  <si>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</si>
  <si>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</si>
  <si>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</si>
  <si>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</si>
  <si>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</si>
  <si>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</si>
  <si>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</si>
  <si>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</si>
  <si>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</si>
  <si>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</si>
  <si>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</si>
  <si>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</si>
  <si>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</si>
  <si>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</si>
  <si>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</si>
  <si>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</si>
  <si>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</si>
  <si>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</si>
  <si>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</si>
  <si>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</si>
  <si>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</si>
  <si>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</si>
  <si>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</si>
  <si>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</si>
  <si>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</si>
  <si>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</si>
  <si>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</si>
  <si>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</si>
  <si>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</si>
  <si>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</si>
  <si>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</si>
  <si>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</si>
  <si>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</si>
  <si>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</si>
  <si>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</si>
  <si>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</si>
  <si>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</si>
  <si>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</si>
  <si>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</si>
  <si>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</si>
  <si>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</si>
  <si>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</si>
  <si>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</si>
  <si>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</si>
  <si>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</si>
  <si>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</si>
  <si>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</si>
  <si>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</si>
  <si>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</si>
  <si>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</si>
  <si>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</si>
  <si>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</si>
  <si>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</si>
  <si>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</si>
  <si>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</si>
  <si>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</si>
  <si>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</si>
  <si>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</si>
  <si>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</si>
  <si>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</si>
  <si>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</si>
  <si>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</si>
  <si>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</si>
  <si>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</si>
  <si>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</si>
  <si>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</si>
  <si>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</si>
  <si>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</si>
  <si>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</si>
  <si>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</si>
  <si>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</si>
  <si>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</si>
  <si>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</si>
  <si>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</si>
  <si>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</si>
  <si>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</si>
  <si>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</si>
  <si>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</si>
  <si>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</si>
  <si>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</si>
  <si>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</si>
  <si>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</si>
  <si>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</si>
  <si>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</si>
  <si>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</si>
  <si>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</si>
  <si>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</si>
  <si>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</si>
  <si>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</si>
  <si>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</si>
  <si>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</si>
  <si>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</si>
  <si>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</si>
  <si>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</si>
  <si>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</si>
  <si>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</si>
  <si>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</si>
  <si>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</si>
  <si>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</si>
  <si>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</si>
  <si>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</si>
  <si>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</si>
  <si>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</si>
  <si>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</si>
  <si>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</si>
  <si>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</si>
  <si>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</si>
  <si>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</si>
  <si>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</si>
  <si>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</si>
  <si>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</si>
  <si>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</si>
  <si>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</si>
  <si>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</si>
  <si>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</si>
  <si>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</si>
  <si>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</si>
  <si>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</si>
  <si>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</si>
  <si>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</si>
  <si>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</si>
  <si>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</si>
  <si>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</si>
  <si>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</si>
  <si>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</si>
  <si>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</si>
  <si>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</si>
  <si>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</si>
  <si>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</si>
  <si>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</si>
  <si>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</si>
  <si>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</si>
  <si>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</si>
  <si>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</si>
  <si>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</si>
  <si>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</si>
  <si>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</si>
  <si>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</si>
  <si>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</si>
  <si>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</si>
  <si>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</si>
  <si>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</si>
  <si>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</si>
  <si>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</si>
  <si>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</si>
  <si>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</si>
  <si>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</si>
  <si>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</si>
  <si>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</si>
  <si>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</si>
  <si>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</si>
  <si>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</si>
  <si>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</si>
  <si>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</si>
  <si>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</si>
  <si>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</si>
  <si>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</si>
  <si>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</si>
  <si>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</si>
  <si>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</si>
  <si>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</si>
  <si>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</si>
  <si>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</si>
  <si>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</si>
  <si>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</si>
  <si>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</si>
  <si>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</si>
  <si>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</si>
  <si>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</si>
  <si>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</si>
  <si>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Exeter Region Cooperative School District</t>
  </si>
  <si>
    <t>1/97</t>
  </si>
  <si>
    <t>1/15/17</t>
  </si>
  <si>
    <t>8/03</t>
  </si>
  <si>
    <t>8/15/23</t>
  </si>
  <si>
    <t xml:space="preserve">Last year - 47,517.24  This year 0  -  The funds should offset telephone, internet and cable bills.  Some companies have </t>
  </si>
  <si>
    <t>started to post the refund on the bills.  Other refund monies were applied to communcation lines in the schools.</t>
  </si>
  <si>
    <t>Other expendable trust fund overstated by $40,000.00 in FY11-12</t>
  </si>
  <si>
    <t>Beginning fund balances are different because of auditor entries for FY11-12</t>
  </si>
  <si>
    <t xml:space="preserve">Negative expense because of FY11-12 accruals never billed - dollars returned to expense line.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</si>
</sst>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172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2207421.5099999998</v>
      </c>
      <c r="G9" s="18"/>
      <c r="H9" s="18">
        <v>274094.38</v>
      </c>
      <c r="I9" s="18"/>
      <c r="J9" s="67">
        <f>SUM(I438)</f>
        <v>1386567.81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738296.2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49716.4</v>
      </c>
      <c r="G12" s="18">
        <v>314454.69</v>
      </c>
      <c r="H12" s="18">
        <v>195869.92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401993.78</v>
      </c>
      <c r="G13" s="18">
        <v>309720.71999999997</v>
      </c>
      <c r="H13" s="18">
        <v>61757.4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35915.800000000003</v>
      </c>
      <c r="G14" s="18"/>
      <c r="H14" s="18">
        <v>1299.28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153748.35999999999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3587092.0499999993</v>
      </c>
      <c r="G19" s="41">
        <f>SUM(G9:G18)</f>
        <v>624175.40999999992</v>
      </c>
      <c r="H19" s="41">
        <f>SUM(H9:H18)</f>
        <v>533020.9800000001</v>
      </c>
      <c r="I19" s="41">
        <f>SUM(I9:I18)</f>
        <v>0</v>
      </c>
      <c r="J19" s="41">
        <f>SUM(J9:J18)</f>
        <v>1386567.81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510324.61</v>
      </c>
      <c r="G22" s="18"/>
      <c r="H22" s="18">
        <v>49716.4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748988.99</v>
      </c>
      <c r="G23" s="18">
        <v>246240.81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36485.730000000003</v>
      </c>
      <c r="G24" s="18"/>
      <c r="H24" s="18">
        <v>858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10998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8815</v>
      </c>
      <c r="G30" s="18">
        <v>26888</v>
      </c>
      <c r="H30" s="18">
        <v>13820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81379.679999999993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1396992.01</v>
      </c>
      <c r="G32" s="41">
        <f>SUM(G22:G31)</f>
        <v>273128.81</v>
      </c>
      <c r="H32" s="41">
        <f>SUM(H22:H31)</f>
        <v>64394.400000000001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351046.6</v>
      </c>
      <c r="H47" s="18">
        <v>468626.58</v>
      </c>
      <c r="I47" s="18"/>
      <c r="J47" s="13">
        <f>SUM(I458)</f>
        <v>1386567.81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863196.37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1326903.67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2190100.04</v>
      </c>
      <c r="G50" s="41">
        <f>SUM(G35:G49)</f>
        <v>351046.6</v>
      </c>
      <c r="H50" s="41">
        <f>SUM(H35:H49)</f>
        <v>468626.58</v>
      </c>
      <c r="I50" s="41">
        <f>SUM(I35:I49)</f>
        <v>0</v>
      </c>
      <c r="J50" s="41">
        <f>SUM(J35:J49)</f>
        <v>1386567.81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3587092.05</v>
      </c>
      <c r="G51" s="41">
        <f>G50+G32</f>
        <v>624175.40999999992</v>
      </c>
      <c r="H51" s="41">
        <f>H50+H32</f>
        <v>533020.98</v>
      </c>
      <c r="I51" s="41">
        <f>I50+I32</f>
        <v>0</v>
      </c>
      <c r="J51" s="41">
        <f>J50+J32</f>
        <v>1386567.81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31728704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31728704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91042.25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23939.69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875800.67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990782.6100000001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>
        <v>118459.43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118459.43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1144.5</v>
      </c>
      <c r="G95" s="18">
        <v>529.59</v>
      </c>
      <c r="H95" s="18"/>
      <c r="I95" s="18"/>
      <c r="J95" s="18">
        <v>5648.72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633453.52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769501.24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>
        <v>52855.79</v>
      </c>
      <c r="H98" s="18">
        <v>266748.98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125403.87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1100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189304.23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144159.91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460012.51</v>
      </c>
      <c r="G110" s="41">
        <f>SUM(G95:G109)</f>
        <v>686838.9</v>
      </c>
      <c r="H110" s="41">
        <f>SUM(H95:H109)</f>
        <v>1037350.22</v>
      </c>
      <c r="I110" s="41">
        <f>SUM(I95:I109)</f>
        <v>0</v>
      </c>
      <c r="J110" s="41">
        <f>SUM(J95:J109)</f>
        <v>5648.72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33179499.120000001</v>
      </c>
      <c r="G111" s="41">
        <f>G59+G110</f>
        <v>686838.9</v>
      </c>
      <c r="H111" s="41">
        <f>H59+H78+H93+H110</f>
        <v>1155809.6499999999</v>
      </c>
      <c r="I111" s="41">
        <f>I59+I110</f>
        <v>0</v>
      </c>
      <c r="J111" s="41">
        <f>J59+J110</f>
        <v>5648.72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5116249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5384111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1856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10502216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1673573.58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333619.99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f>1057362.39-219.6</f>
        <v>1057142.7899999998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219.6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8314.33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3064555.96</v>
      </c>
      <c r="G135" s="41">
        <f>SUM(G122:G134)</f>
        <v>8314.33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13566771.960000001</v>
      </c>
      <c r="G139" s="41">
        <f>G120+SUM(G135:G136)</f>
        <v>8314.33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22415.42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22415.42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7650.2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339692.11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224212.46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168531.45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168531.45</v>
      </c>
      <c r="G161" s="41">
        <f>SUM(G149:G160)</f>
        <v>224212.46</v>
      </c>
      <c r="H161" s="41">
        <f>SUM(H149:H160)</f>
        <v>347342.31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190946.87</v>
      </c>
      <c r="G168" s="41">
        <f>G146+G161+SUM(G162:G167)</f>
        <v>224212.46</v>
      </c>
      <c r="H168" s="41">
        <f>H146+H161+SUM(H162:H167)</f>
        <v>347342.31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125000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125000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125000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46937217.949999996</v>
      </c>
      <c r="G192" s="47">
        <f>G111+G139+G168+G191</f>
        <v>919365.69</v>
      </c>
      <c r="H192" s="47">
        <f>H111+H139+H168+H191</f>
        <v>1503151.96</v>
      </c>
      <c r="I192" s="47">
        <f>I111+I139+I168+I191</f>
        <v>0</v>
      </c>
      <c r="J192" s="47">
        <f>J111+J139+J191</f>
        <v>130648.72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6170611.5499999998</v>
      </c>
      <c r="G214" s="18">
        <v>2751875.31</v>
      </c>
      <c r="H214" s="18">
        <v>117525.07</v>
      </c>
      <c r="I214" s="18">
        <v>223491.4</v>
      </c>
      <c r="J214" s="18">
        <v>130924.12</v>
      </c>
      <c r="K214" s="18"/>
      <c r="L214" s="19">
        <f>SUM(F214:K214)</f>
        <v>9394427.4499999993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1299018.04</v>
      </c>
      <c r="G215" s="18">
        <v>579316.27</v>
      </c>
      <c r="H215" s="18">
        <v>165053.21</v>
      </c>
      <c r="I215" s="18">
        <v>15900.48</v>
      </c>
      <c r="J215" s="18">
        <v>4825.55</v>
      </c>
      <c r="K215" s="18"/>
      <c r="L215" s="19">
        <f>SUM(F215:K215)</f>
        <v>2064113.55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153186.15</v>
      </c>
      <c r="G217" s="18">
        <v>68315.63</v>
      </c>
      <c r="H217" s="18">
        <v>18610.3</v>
      </c>
      <c r="I217" s="18">
        <v>6965.3</v>
      </c>
      <c r="J217" s="18"/>
      <c r="K217" s="18"/>
      <c r="L217" s="19">
        <f>SUM(F217:K217)</f>
        <v>247077.37999999998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813363.86</v>
      </c>
      <c r="G219" s="18">
        <v>362731.62</v>
      </c>
      <c r="H219" s="18">
        <v>38223.43</v>
      </c>
      <c r="I219" s="18">
        <v>6050.29</v>
      </c>
      <c r="J219" s="18"/>
      <c r="K219" s="18"/>
      <c r="L219" s="19">
        <f t="shared" ref="L219:L225" si="2">SUM(F219:K219)</f>
        <v>1220369.2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139521.28</v>
      </c>
      <c r="G220" s="18">
        <v>62221.57</v>
      </c>
      <c r="H220" s="18">
        <v>17916.810000000001</v>
      </c>
      <c r="I220" s="18">
        <v>20676.25</v>
      </c>
      <c r="J220" s="18"/>
      <c r="K220" s="18"/>
      <c r="L220" s="19">
        <f t="shared" si="2"/>
        <v>240335.91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84218.87</v>
      </c>
      <c r="G221" s="18">
        <v>37558.65</v>
      </c>
      <c r="H221" s="18">
        <v>506190.84</v>
      </c>
      <c r="I221" s="18"/>
      <c r="J221" s="18"/>
      <c r="K221" s="18"/>
      <c r="L221" s="19">
        <f t="shared" si="2"/>
        <v>627968.36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602514.27</v>
      </c>
      <c r="G222" s="18">
        <v>268700.13</v>
      </c>
      <c r="H222" s="18">
        <v>103936.92</v>
      </c>
      <c r="I222" s="18">
        <v>33147.49</v>
      </c>
      <c r="J222" s="18">
        <v>5982.67</v>
      </c>
      <c r="K222" s="18">
        <v>7484.74</v>
      </c>
      <c r="L222" s="19">
        <f t="shared" si="2"/>
        <v>1021766.2200000001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570722.71</v>
      </c>
      <c r="G224" s="18">
        <v>254522.22</v>
      </c>
      <c r="H224" s="18">
        <v>238933.27</v>
      </c>
      <c r="I224" s="18">
        <v>330949.3</v>
      </c>
      <c r="J224" s="18">
        <v>6542.2</v>
      </c>
      <c r="K224" s="18"/>
      <c r="L224" s="19">
        <f t="shared" si="2"/>
        <v>1401669.7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13272.94</v>
      </c>
      <c r="G225" s="18">
        <v>5919.26</v>
      </c>
      <c r="H225" s="18">
        <v>780860.16</v>
      </c>
      <c r="I225" s="18"/>
      <c r="J225" s="18"/>
      <c r="K225" s="18"/>
      <c r="L225" s="19">
        <f t="shared" si="2"/>
        <v>800052.36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9846429.6699999962</v>
      </c>
      <c r="G228" s="41">
        <f>SUM(G214:G227)</f>
        <v>4391160.6599999992</v>
      </c>
      <c r="H228" s="41">
        <f>SUM(H214:H227)</f>
        <v>1987250.0100000002</v>
      </c>
      <c r="I228" s="41">
        <f>SUM(I214:I227)</f>
        <v>637180.51</v>
      </c>
      <c r="J228" s="41">
        <f>SUM(J214:J227)</f>
        <v>148274.54</v>
      </c>
      <c r="K228" s="41">
        <f t="shared" si="3"/>
        <v>7484.74</v>
      </c>
      <c r="L228" s="41">
        <f t="shared" si="3"/>
        <v>17017780.129999999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7211455.3200000003</v>
      </c>
      <c r="G232" s="18">
        <v>2774232.79</v>
      </c>
      <c r="H232" s="18">
        <v>77043.850000000006</v>
      </c>
      <c r="I232" s="18">
        <v>375506.79</v>
      </c>
      <c r="J232" s="18"/>
      <c r="K232" s="18"/>
      <c r="L232" s="19">
        <f>SUM(F232:K232)</f>
        <v>10438238.749999998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1446765.44</v>
      </c>
      <c r="G233" s="18">
        <v>556567.84</v>
      </c>
      <c r="H233" s="18">
        <v>1224489.97</v>
      </c>
      <c r="I233" s="18">
        <v>20684.669999999998</v>
      </c>
      <c r="J233" s="18">
        <v>16712.599999999999</v>
      </c>
      <c r="K233" s="18"/>
      <c r="L233" s="19">
        <f>SUM(F233:K233)</f>
        <v>3265220.52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1276800.69</v>
      </c>
      <c r="G234" s="18">
        <v>488141.7</v>
      </c>
      <c r="H234" s="18">
        <v>36299.620000000003</v>
      </c>
      <c r="I234" s="18">
        <v>82970.42</v>
      </c>
      <c r="J234" s="18">
        <v>10658.57</v>
      </c>
      <c r="K234" s="18">
        <v>1030</v>
      </c>
      <c r="L234" s="19">
        <f>SUM(F234:K234)</f>
        <v>1895901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375091.03</v>
      </c>
      <c r="G235" s="18">
        <v>144296.79</v>
      </c>
      <c r="H235" s="18">
        <v>115495.88</v>
      </c>
      <c r="I235" s="18">
        <v>69051.05</v>
      </c>
      <c r="J235" s="18"/>
      <c r="K235" s="18"/>
      <c r="L235" s="19">
        <f>SUM(F235:K235)</f>
        <v>703934.75000000012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1002027.72</v>
      </c>
      <c r="G237" s="18">
        <v>385478.11</v>
      </c>
      <c r="H237" s="18">
        <v>69719.679999999993</v>
      </c>
      <c r="I237" s="18">
        <v>21916.46</v>
      </c>
      <c r="J237" s="18"/>
      <c r="K237" s="18"/>
      <c r="L237" s="19">
        <f t="shared" ref="L237:L243" si="4">SUM(F237:K237)</f>
        <v>1479141.97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152440.53</v>
      </c>
      <c r="G238" s="18">
        <v>58643.57</v>
      </c>
      <c r="H238" s="18">
        <v>21523.61</v>
      </c>
      <c r="I238" s="18">
        <v>28320.7</v>
      </c>
      <c r="J238" s="18"/>
      <c r="K238" s="18"/>
      <c r="L238" s="19">
        <f t="shared" si="4"/>
        <v>260928.41000000003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171550.85</v>
      </c>
      <c r="G239" s="18">
        <v>65995.28</v>
      </c>
      <c r="H239" s="18">
        <v>506289.98</v>
      </c>
      <c r="I239" s="18">
        <v>2861.06</v>
      </c>
      <c r="J239" s="18"/>
      <c r="K239" s="18"/>
      <c r="L239" s="19">
        <f t="shared" si="4"/>
        <v>746697.17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821532.08</v>
      </c>
      <c r="G240" s="18">
        <v>316041.78999999998</v>
      </c>
      <c r="H240" s="18">
        <v>119714.72</v>
      </c>
      <c r="I240" s="18">
        <v>106439.12</v>
      </c>
      <c r="J240" s="18"/>
      <c r="K240" s="18">
        <v>9955.09</v>
      </c>
      <c r="L240" s="19">
        <f t="shared" si="4"/>
        <v>1373682.8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935162.51</v>
      </c>
      <c r="G242" s="18">
        <v>359755.19</v>
      </c>
      <c r="H242" s="18">
        <v>491990.36</v>
      </c>
      <c r="I242" s="18">
        <v>1404823.14</v>
      </c>
      <c r="J242" s="18">
        <v>12406.18</v>
      </c>
      <c r="K242" s="18"/>
      <c r="L242" s="19">
        <f t="shared" si="4"/>
        <v>3204137.3800000004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13272.95</v>
      </c>
      <c r="G243" s="18">
        <v>5106.0600000000004</v>
      </c>
      <c r="H243" s="18">
        <v>934441.35</v>
      </c>
      <c r="I243" s="18"/>
      <c r="J243" s="18"/>
      <c r="K243" s="18"/>
      <c r="L243" s="19">
        <f t="shared" si="4"/>
        <v>952820.36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13406099.119999997</v>
      </c>
      <c r="G246" s="41">
        <f t="shared" si="5"/>
        <v>5154259.120000001</v>
      </c>
      <c r="H246" s="41">
        <f t="shared" si="5"/>
        <v>3597009.0200000005</v>
      </c>
      <c r="I246" s="41">
        <f t="shared" si="5"/>
        <v>2112573.4099999997</v>
      </c>
      <c r="J246" s="41">
        <f t="shared" si="5"/>
        <v>39777.35</v>
      </c>
      <c r="K246" s="41">
        <f t="shared" si="5"/>
        <v>10985.09</v>
      </c>
      <c r="L246" s="41">
        <f t="shared" si="5"/>
        <v>24320703.109999999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99748.4</v>
      </c>
      <c r="G250" s="18"/>
      <c r="H250" s="18"/>
      <c r="I250" s="18">
        <v>20376.330000000002</v>
      </c>
      <c r="J250" s="18"/>
      <c r="K250" s="18"/>
      <c r="L250" s="19">
        <f t="shared" si="6"/>
        <v>120124.73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99748.4</v>
      </c>
      <c r="G255" s="41">
        <f t="shared" si="7"/>
        <v>0</v>
      </c>
      <c r="H255" s="41">
        <f t="shared" si="7"/>
        <v>0</v>
      </c>
      <c r="I255" s="41">
        <f t="shared" si="7"/>
        <v>20376.330000000002</v>
      </c>
      <c r="J255" s="41">
        <f t="shared" si="7"/>
        <v>0</v>
      </c>
      <c r="K255" s="41">
        <f t="shared" si="7"/>
        <v>0</v>
      </c>
      <c r="L255" s="41">
        <f>SUM(F255:K255)</f>
        <v>120124.73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23352277.18999999</v>
      </c>
      <c r="G256" s="41">
        <f t="shared" si="8"/>
        <v>9545419.7800000012</v>
      </c>
      <c r="H256" s="41">
        <f t="shared" si="8"/>
        <v>5584259.0300000012</v>
      </c>
      <c r="I256" s="41">
        <f t="shared" si="8"/>
        <v>2770130.25</v>
      </c>
      <c r="J256" s="41">
        <f t="shared" si="8"/>
        <v>188051.89</v>
      </c>
      <c r="K256" s="41">
        <f t="shared" si="8"/>
        <v>18469.830000000002</v>
      </c>
      <c r="L256" s="41">
        <f t="shared" si="8"/>
        <v>41458607.969999991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2664791.29</v>
      </c>
      <c r="L259" s="19">
        <f>SUM(F259:K259)</f>
        <v>2664791.29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1832836.71</v>
      </c>
      <c r="L260" s="19">
        <f>SUM(F260:K260)</f>
        <v>1832836.71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125000</v>
      </c>
      <c r="L265" s="19">
        <f t="shared" si="9"/>
        <v>125000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300000</v>
      </c>
      <c r="L267" s="19">
        <f t="shared" si="9"/>
        <v>300000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4922628</v>
      </c>
      <c r="L269" s="41">
        <f t="shared" si="9"/>
        <v>4922628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23352277.18999999</v>
      </c>
      <c r="G270" s="42">
        <f t="shared" si="11"/>
        <v>9545419.7800000012</v>
      </c>
      <c r="H270" s="42">
        <f t="shared" si="11"/>
        <v>5584259.0300000012</v>
      </c>
      <c r="I270" s="42">
        <f t="shared" si="11"/>
        <v>2770130.25</v>
      </c>
      <c r="J270" s="42">
        <f t="shared" si="11"/>
        <v>188051.89</v>
      </c>
      <c r="K270" s="42">
        <f t="shared" si="11"/>
        <v>4941097.83</v>
      </c>
      <c r="L270" s="42">
        <f t="shared" si="11"/>
        <v>46381235.969999991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>
        <v>279469.24</v>
      </c>
      <c r="L299" s="19">
        <f t="shared" ref="L299:L305" si="14">SUM(F299:K299)</f>
        <v>279469.24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279469.24</v>
      </c>
      <c r="L308" s="41">
        <f t="shared" si="15"/>
        <v>279469.24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8775</v>
      </c>
      <c r="G315" s="18">
        <v>1586.59</v>
      </c>
      <c r="H315" s="18"/>
      <c r="I315" s="18">
        <v>97416.12</v>
      </c>
      <c r="J315" s="18"/>
      <c r="K315" s="18"/>
      <c r="L315" s="19">
        <f>SUM(F315:K315)</f>
        <v>107777.70999999999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>
        <v>8534.39</v>
      </c>
      <c r="J318" s="18"/>
      <c r="K318" s="18">
        <v>462446.17</v>
      </c>
      <c r="L318" s="19">
        <f t="shared" ref="L318:L324" si="16">SUM(F318:K318)</f>
        <v>470980.56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8775</v>
      </c>
      <c r="G327" s="42">
        <f t="shared" si="17"/>
        <v>1586.59</v>
      </c>
      <c r="H327" s="42">
        <f t="shared" si="17"/>
        <v>0</v>
      </c>
      <c r="I327" s="42">
        <f t="shared" si="17"/>
        <v>105950.51</v>
      </c>
      <c r="J327" s="42">
        <f t="shared" si="17"/>
        <v>0</v>
      </c>
      <c r="K327" s="42">
        <f t="shared" si="17"/>
        <v>462446.17</v>
      </c>
      <c r="L327" s="41">
        <f t="shared" si="17"/>
        <v>578758.27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248154.33</v>
      </c>
      <c r="G332" s="18">
        <v>44155.46</v>
      </c>
      <c r="H332" s="18">
        <v>15515.98</v>
      </c>
      <c r="I332" s="18">
        <v>19508.71</v>
      </c>
      <c r="J332" s="18">
        <v>4396.09</v>
      </c>
      <c r="K332" s="18">
        <v>7961.54</v>
      </c>
      <c r="L332" s="19">
        <f t="shared" si="18"/>
        <v>339692.11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71048.12</v>
      </c>
      <c r="G333" s="18">
        <v>12650.94</v>
      </c>
      <c r="H333" s="18">
        <v>25991.599999999999</v>
      </c>
      <c r="I333" s="18">
        <v>11578.84</v>
      </c>
      <c r="J333" s="18"/>
      <c r="K333" s="18">
        <v>180998.37</v>
      </c>
      <c r="L333" s="19">
        <f t="shared" si="18"/>
        <v>302267.87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>
        <v>6900</v>
      </c>
      <c r="I334" s="18">
        <v>575</v>
      </c>
      <c r="J334" s="18"/>
      <c r="K334" s="18">
        <v>175.2</v>
      </c>
      <c r="L334" s="19">
        <f t="shared" si="18"/>
        <v>7650.2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319202.44999999995</v>
      </c>
      <c r="G336" s="41">
        <f t="shared" si="19"/>
        <v>56806.400000000001</v>
      </c>
      <c r="H336" s="41">
        <f t="shared" si="19"/>
        <v>48407.58</v>
      </c>
      <c r="I336" s="41">
        <f t="shared" si="19"/>
        <v>31662.55</v>
      </c>
      <c r="J336" s="41">
        <f t="shared" si="19"/>
        <v>4396.09</v>
      </c>
      <c r="K336" s="41">
        <f t="shared" si="19"/>
        <v>189135.11000000002</v>
      </c>
      <c r="L336" s="41">
        <f t="shared" si="18"/>
        <v>649610.18000000005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327977.44999999995</v>
      </c>
      <c r="G337" s="41">
        <f t="shared" si="20"/>
        <v>58392.99</v>
      </c>
      <c r="H337" s="41">
        <f t="shared" si="20"/>
        <v>48407.58</v>
      </c>
      <c r="I337" s="41">
        <f t="shared" si="20"/>
        <v>137613.06</v>
      </c>
      <c r="J337" s="41">
        <f t="shared" si="20"/>
        <v>4396.09</v>
      </c>
      <c r="K337" s="41">
        <f t="shared" si="20"/>
        <v>931050.5199999999</v>
      </c>
      <c r="L337" s="41">
        <f t="shared" si="20"/>
        <v>1507837.69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327977.44999999995</v>
      </c>
      <c r="G351" s="41">
        <f>G337</f>
        <v>58392.99</v>
      </c>
      <c r="H351" s="41">
        <f>H337</f>
        <v>48407.58</v>
      </c>
      <c r="I351" s="41">
        <f>I337</f>
        <v>137613.06</v>
      </c>
      <c r="J351" s="41">
        <f>J337</f>
        <v>4396.09</v>
      </c>
      <c r="K351" s="47">
        <f>K337+K350</f>
        <v>931050.5199999999</v>
      </c>
      <c r="L351" s="41">
        <f>L337+L350</f>
        <v>1507837.69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145424.16</v>
      </c>
      <c r="G358" s="18">
        <v>34694.9</v>
      </c>
      <c r="H358" s="18">
        <v>12756.16</v>
      </c>
      <c r="I358" s="18">
        <v>142003.23000000001</v>
      </c>
      <c r="J358" s="18">
        <v>9569.7800000000007</v>
      </c>
      <c r="K358" s="18">
        <v>1594.25</v>
      </c>
      <c r="L358" s="19">
        <f>SUM(F358:K358)</f>
        <v>346042.48000000004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195148.84</v>
      </c>
      <c r="G359" s="18">
        <v>56491.26</v>
      </c>
      <c r="H359" s="18">
        <v>9717.3799999999992</v>
      </c>
      <c r="I359" s="18">
        <v>288511.21999999997</v>
      </c>
      <c r="J359" s="18">
        <v>2709.11</v>
      </c>
      <c r="K359" s="18">
        <v>5995.99</v>
      </c>
      <c r="L359" s="19">
        <f>SUM(F359:K359)</f>
        <v>558573.79999999993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340573</v>
      </c>
      <c r="G361" s="47">
        <f t="shared" si="22"/>
        <v>91186.16</v>
      </c>
      <c r="H361" s="47">
        <f t="shared" si="22"/>
        <v>22473.54</v>
      </c>
      <c r="I361" s="47">
        <f t="shared" si="22"/>
        <v>430514.44999999995</v>
      </c>
      <c r="J361" s="47">
        <f t="shared" si="22"/>
        <v>12278.890000000001</v>
      </c>
      <c r="K361" s="47">
        <f t="shared" si="22"/>
        <v>7590.24</v>
      </c>
      <c r="L361" s="47">
        <f t="shared" si="22"/>
        <v>904616.28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>
        <v>133464.01</v>
      </c>
      <c r="H366" s="18">
        <v>275204.58</v>
      </c>
      <c r="I366" s="56">
        <f>SUM(F366:H366)</f>
        <v>408668.59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>
        <v>8539.2199999999993</v>
      </c>
      <c r="H367" s="63">
        <v>13306.64</v>
      </c>
      <c r="I367" s="56">
        <f>SUM(F367:H367)</f>
        <v>21845.86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142003.23000000001</v>
      </c>
      <c r="H368" s="47">
        <f>SUM(H366:H367)</f>
        <v>288511.22000000003</v>
      </c>
      <c r="I368" s="47">
        <f>SUM(I366:I367)</f>
        <v>430514.45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1713.64</v>
      </c>
      <c r="I388" s="18"/>
      <c r="J388" s="24" t="s">
        <v>289</v>
      </c>
      <c r="K388" s="24" t="s">
        <v>289</v>
      </c>
      <c r="L388" s="56">
        <f t="shared" si="25"/>
        <v>1713.64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1713.64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1713.64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125000</v>
      </c>
      <c r="H395" s="18">
        <v>1730.74</v>
      </c>
      <c r="I395" s="18"/>
      <c r="J395" s="24" t="s">
        <v>289</v>
      </c>
      <c r="K395" s="24" t="s">
        <v>289</v>
      </c>
      <c r="L395" s="56">
        <f t="shared" si="26"/>
        <v>126730.74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2204.34</v>
      </c>
      <c r="I396" s="18"/>
      <c r="J396" s="24" t="s">
        <v>289</v>
      </c>
      <c r="K396" s="24" t="s">
        <v>289</v>
      </c>
      <c r="L396" s="56">
        <f t="shared" si="26"/>
        <v>2204.34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125000</v>
      </c>
      <c r="H400" s="47">
        <f>SUM(H394:H399)</f>
        <v>3935.08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128935.08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125000</v>
      </c>
      <c r="H407" s="47">
        <f>H392+H400+H406</f>
        <v>5648.72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130648.72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389085.17</v>
      </c>
      <c r="G438" s="18">
        <v>997482.64</v>
      </c>
      <c r="H438" s="18"/>
      <c r="I438" s="56">
        <f t="shared" ref="I438:I444" si="33">SUM(F438:H438)</f>
        <v>1386567.81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389085.17</v>
      </c>
      <c r="G445" s="13">
        <f>SUM(G438:G444)</f>
        <v>997482.64</v>
      </c>
      <c r="H445" s="13">
        <f>SUM(H438:H444)</f>
        <v>0</v>
      </c>
      <c r="I445" s="13">
        <f>SUM(I438:I444)</f>
        <v>1386567.81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389085.17</v>
      </c>
      <c r="G458" s="18">
        <v>997482.64</v>
      </c>
      <c r="H458" s="18"/>
      <c r="I458" s="56">
        <f t="shared" si="34"/>
        <v>1386567.81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389085.17</v>
      </c>
      <c r="G459" s="83">
        <f>SUM(G453:G458)</f>
        <v>997482.64</v>
      </c>
      <c r="H459" s="83">
        <f>SUM(H453:H458)</f>
        <v>0</v>
      </c>
      <c r="I459" s="83">
        <f>SUM(I453:I458)</f>
        <v>1386567.81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389085.17</v>
      </c>
      <c r="G460" s="42">
        <f>G451+G459</f>
        <v>997482.64</v>
      </c>
      <c r="H460" s="42">
        <f>H451+H459</f>
        <v>0</v>
      </c>
      <c r="I460" s="42">
        <f>I451+I459</f>
        <v>1386567.81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1634118.06</v>
      </c>
      <c r="G464" s="18">
        <v>336297.19</v>
      </c>
      <c r="H464" s="18">
        <v>473312.31</v>
      </c>
      <c r="I464" s="18"/>
      <c r="J464" s="18">
        <v>1255919.0900000001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46937217.950000003</v>
      </c>
      <c r="G467" s="18">
        <v>919365.69</v>
      </c>
      <c r="H467" s="18">
        <v>1503151.96</v>
      </c>
      <c r="I467" s="18"/>
      <c r="J467" s="18">
        <v>130648.72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46937217.950000003</v>
      </c>
      <c r="G469" s="53">
        <f>SUM(G467:G468)</f>
        <v>919365.69</v>
      </c>
      <c r="H469" s="53">
        <f>SUM(H467:H468)</f>
        <v>1503151.96</v>
      </c>
      <c r="I469" s="53">
        <f>SUM(I467:I468)</f>
        <v>0</v>
      </c>
      <c r="J469" s="53">
        <f>SUM(J467:J468)</f>
        <v>130648.72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46381235.969999999</v>
      </c>
      <c r="G471" s="18">
        <v>904616.28</v>
      </c>
      <c r="H471" s="18">
        <v>1507837.69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46381235.969999999</v>
      </c>
      <c r="G473" s="53">
        <f>SUM(G471:G472)</f>
        <v>904616.28</v>
      </c>
      <c r="H473" s="53">
        <f>SUM(H471:H472)</f>
        <v>1507837.69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2190100.0400000066</v>
      </c>
      <c r="G475" s="53">
        <f>(G464+G469)- G473</f>
        <v>351046.59999999986</v>
      </c>
      <c r="H475" s="53">
        <f>(H464+H469)- H473</f>
        <v>468626.58000000007</v>
      </c>
      <c r="I475" s="53">
        <f>(I464+I469)- I473</f>
        <v>0</v>
      </c>
      <c r="J475" s="53">
        <f>(J464+J469)- J473</f>
        <v>1386567.81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15600000</v>
      </c>
      <c r="G492" s="18">
        <v>42695000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5.4626000000000001</v>
      </c>
      <c r="G493" s="18">
        <v>3.6970000000000001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2279499.29</v>
      </c>
      <c r="G494" s="18">
        <v>20425026.210000001</v>
      </c>
      <c r="H494" s="18"/>
      <c r="I494" s="18"/>
      <c r="J494" s="18"/>
      <c r="K494" s="53">
        <f>SUM(F494:J494)</f>
        <v>22704525.5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F494-F497</f>
        <v>511898.30000000005</v>
      </c>
      <c r="G496" s="18">
        <f>G494-G497</f>
        <v>2152892.9900000021</v>
      </c>
      <c r="H496" s="18"/>
      <c r="I496" s="18"/>
      <c r="J496" s="18"/>
      <c r="K496" s="53">
        <f t="shared" si="35"/>
        <v>2664791.2900000019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1767600.99</v>
      </c>
      <c r="G497" s="204">
        <v>18272133.219999999</v>
      </c>
      <c r="H497" s="204"/>
      <c r="I497" s="204"/>
      <c r="J497" s="204"/>
      <c r="K497" s="205">
        <f t="shared" si="35"/>
        <v>20039734.209999997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3459199.01</v>
      </c>
      <c r="G498" s="18">
        <v>16519541.779999999</v>
      </c>
      <c r="H498" s="18"/>
      <c r="I498" s="18"/>
      <c r="J498" s="18"/>
      <c r="K498" s="53">
        <f t="shared" si="35"/>
        <v>19978740.789999999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5226800</v>
      </c>
      <c r="G499" s="42">
        <f>SUM(G497:G498)</f>
        <v>34791675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40018475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482028.31</v>
      </c>
      <c r="G500" s="204">
        <v>2059691.38</v>
      </c>
      <c r="H500" s="204"/>
      <c r="I500" s="204"/>
      <c r="J500" s="204"/>
      <c r="K500" s="205">
        <f t="shared" si="35"/>
        <v>2541719.69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824871.69</v>
      </c>
      <c r="G501" s="18">
        <v>1132286.6200000001</v>
      </c>
      <c r="H501" s="18"/>
      <c r="I501" s="18"/>
      <c r="J501" s="18"/>
      <c r="K501" s="53">
        <f t="shared" si="35"/>
        <v>1957158.31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1306900</v>
      </c>
      <c r="G502" s="42">
        <f>SUM(G500:G501)</f>
        <v>3191978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4498878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1299018.04</v>
      </c>
      <c r="G521" s="18">
        <v>579316.27</v>
      </c>
      <c r="H521" s="18">
        <v>165053.21</v>
      </c>
      <c r="I521" s="18">
        <v>15900.48</v>
      </c>
      <c r="J521" s="18">
        <v>4825.55</v>
      </c>
      <c r="K521" s="18"/>
      <c r="L521" s="88">
        <f>SUM(F521:K521)</f>
        <v>2064113.55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1446765.44</v>
      </c>
      <c r="G522" s="18">
        <v>556567.84</v>
      </c>
      <c r="H522" s="18">
        <v>1224489.97</v>
      </c>
      <c r="I522" s="18">
        <v>20684.669999999998</v>
      </c>
      <c r="J522" s="18">
        <v>16712.599999999999</v>
      </c>
      <c r="K522" s="18"/>
      <c r="L522" s="88">
        <f>SUM(F522:K522)</f>
        <v>3265220.52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2745783.48</v>
      </c>
      <c r="G523" s="108">
        <f t="shared" ref="G523:L523" si="36">SUM(G520:G522)</f>
        <v>1135884.1099999999</v>
      </c>
      <c r="H523" s="108">
        <f t="shared" si="36"/>
        <v>1389543.18</v>
      </c>
      <c r="I523" s="108">
        <f t="shared" si="36"/>
        <v>36585.149999999994</v>
      </c>
      <c r="J523" s="108">
        <f t="shared" si="36"/>
        <v>21538.149999999998</v>
      </c>
      <c r="K523" s="108">
        <f t="shared" si="36"/>
        <v>0</v>
      </c>
      <c r="L523" s="89">
        <f t="shared" si="36"/>
        <v>5329334.07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2141539</v>
      </c>
      <c r="G526" s="18">
        <v>85815.6</v>
      </c>
      <c r="H526" s="18">
        <v>14841.71</v>
      </c>
      <c r="I526" s="18"/>
      <c r="J526" s="18"/>
      <c r="K526" s="18"/>
      <c r="L526" s="88">
        <f>SUM(F526:K526)</f>
        <v>2242196.31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149546</v>
      </c>
      <c r="G527" s="18">
        <v>59818.400000000001</v>
      </c>
      <c r="H527" s="18">
        <v>9152.11</v>
      </c>
      <c r="I527" s="18"/>
      <c r="J527" s="18"/>
      <c r="K527" s="18"/>
      <c r="L527" s="88">
        <f>SUM(F527:K527)</f>
        <v>218516.51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2291085</v>
      </c>
      <c r="G528" s="89">
        <f t="shared" ref="G528:L528" si="37">SUM(G525:G527)</f>
        <v>145634</v>
      </c>
      <c r="H528" s="89">
        <f t="shared" si="37"/>
        <v>23993.82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2460712.8200000003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77718.87</v>
      </c>
      <c r="G531" s="18">
        <v>31087.55</v>
      </c>
      <c r="H531" s="18"/>
      <c r="I531" s="18"/>
      <c r="J531" s="18"/>
      <c r="K531" s="18"/>
      <c r="L531" s="88">
        <f>SUM(F531:K531)</f>
        <v>108806.42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77718.899999999994</v>
      </c>
      <c r="G532" s="18">
        <v>31087.56</v>
      </c>
      <c r="H532" s="18"/>
      <c r="I532" s="18"/>
      <c r="J532" s="18"/>
      <c r="K532" s="18"/>
      <c r="L532" s="88">
        <f>SUM(F532:K532)</f>
        <v>108806.45999999999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155437.76999999999</v>
      </c>
      <c r="G533" s="89">
        <f t="shared" ref="G533:L533" si="38">SUM(G530:G532)</f>
        <v>62175.11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217612.88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-2836.86</v>
      </c>
      <c r="I535" s="18"/>
      <c r="J535" s="18"/>
      <c r="K535" s="18"/>
      <c r="L535" s="88">
        <f>SUM(F535:K535)</f>
        <v>-2836.86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-2836.86</v>
      </c>
      <c r="I536" s="18"/>
      <c r="J536" s="18"/>
      <c r="K536" s="18"/>
      <c r="L536" s="88">
        <f>SUM(F536:K536)</f>
        <v>-2836.86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-5673.72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-5673.72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206301.35</v>
      </c>
      <c r="I541" s="18"/>
      <c r="J541" s="18"/>
      <c r="K541" s="18"/>
      <c r="L541" s="88">
        <f>SUM(F541:K541)</f>
        <v>206301.35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232885.51</v>
      </c>
      <c r="I542" s="18"/>
      <c r="J542" s="18"/>
      <c r="K542" s="18"/>
      <c r="L542" s="88">
        <f>SUM(F542:K542)</f>
        <v>232885.51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439186.86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439186.86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5192306.25</v>
      </c>
      <c r="G544" s="89">
        <f t="shared" ref="G544:L544" si="41">G523+G528+G533+G538+G543</f>
        <v>1343693.22</v>
      </c>
      <c r="H544" s="89">
        <f t="shared" si="41"/>
        <v>1847050.1400000001</v>
      </c>
      <c r="I544" s="89">
        <f t="shared" si="41"/>
        <v>36585.149999999994</v>
      </c>
      <c r="J544" s="89">
        <f t="shared" si="41"/>
        <v>21538.149999999998</v>
      </c>
      <c r="K544" s="89">
        <f t="shared" si="41"/>
        <v>0</v>
      </c>
      <c r="L544" s="89">
        <f t="shared" si="41"/>
        <v>8441172.9100000001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-2836.86</v>
      </c>
      <c r="J548" s="87">
        <f>L540</f>
        <v>0</v>
      </c>
      <c r="K548" s="87">
        <f>SUM(F548:J548)</f>
        <v>-2836.86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2064113.55</v>
      </c>
      <c r="G549" s="87">
        <f>L526</f>
        <v>2242196.31</v>
      </c>
      <c r="H549" s="87">
        <f>L531</f>
        <v>108806.42</v>
      </c>
      <c r="I549" s="87">
        <f>L536</f>
        <v>-2836.86</v>
      </c>
      <c r="J549" s="87">
        <f>L541</f>
        <v>206301.35</v>
      </c>
      <c r="K549" s="87">
        <f>SUM(F549:J549)</f>
        <v>4618580.7699999996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3265220.52</v>
      </c>
      <c r="G550" s="87">
        <f>L527</f>
        <v>218516.51</v>
      </c>
      <c r="H550" s="87">
        <f>L532</f>
        <v>108806.45999999999</v>
      </c>
      <c r="I550" s="87">
        <f>L537</f>
        <v>0</v>
      </c>
      <c r="J550" s="87">
        <f>L542</f>
        <v>232885.51</v>
      </c>
      <c r="K550" s="87">
        <f>SUM(F550:J550)</f>
        <v>3825429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5329334.07</v>
      </c>
      <c r="G551" s="89">
        <f t="shared" si="42"/>
        <v>2460712.8200000003</v>
      </c>
      <c r="H551" s="89">
        <f t="shared" si="42"/>
        <v>217612.88</v>
      </c>
      <c r="I551" s="89">
        <f t="shared" si="42"/>
        <v>-5673.72</v>
      </c>
      <c r="J551" s="89">
        <f t="shared" si="42"/>
        <v>439186.86</v>
      </c>
      <c r="K551" s="89">
        <f t="shared" si="42"/>
        <v>8441172.9100000001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100</v>
      </c>
      <c r="I577" s="87">
        <f t="shared" si="47"/>
        <v>100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137691.20000000001</v>
      </c>
      <c r="H581" s="18">
        <v>1258752.45</v>
      </c>
      <c r="I581" s="87">
        <f t="shared" si="47"/>
        <v>1396443.65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>
        <v>519619.88</v>
      </c>
      <c r="J590" s="18">
        <v>519685.65</v>
      </c>
      <c r="K590" s="104">
        <f t="shared" ref="K590:K596" si="48">SUM(H590:J590)</f>
        <v>1039305.53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v>206301.35</v>
      </c>
      <c r="J591" s="18">
        <v>232885.51</v>
      </c>
      <c r="K591" s="104">
        <f t="shared" si="48"/>
        <v>439186.86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58609.39</v>
      </c>
      <c r="K592" s="104">
        <f t="shared" si="48"/>
        <v>58609.39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17202.919999999998</v>
      </c>
      <c r="J593" s="18">
        <v>100825.8</v>
      </c>
      <c r="K593" s="104">
        <f t="shared" si="48"/>
        <v>118028.72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>
        <v>56928.21</v>
      </c>
      <c r="J596" s="18">
        <v>40814.01</v>
      </c>
      <c r="K596" s="104">
        <f t="shared" si="48"/>
        <v>97742.22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800052.36</v>
      </c>
      <c r="J597" s="108">
        <f>SUM(J590:J596)</f>
        <v>952820.3600000001</v>
      </c>
      <c r="K597" s="108">
        <f>SUM(K590:K596)</f>
        <v>1752872.72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>
        <v>148274.54</v>
      </c>
      <c r="J603" s="18">
        <v>44173.440000000002</v>
      </c>
      <c r="K603" s="104">
        <f>SUM(H603:J603)</f>
        <v>192447.98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148274.54</v>
      </c>
      <c r="J604" s="108">
        <f>SUM(J601:J603)</f>
        <v>44173.440000000002</v>
      </c>
      <c r="K604" s="108">
        <f>SUM(K601:K603)</f>
        <v>192447.98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3587092.0499999993</v>
      </c>
      <c r="H616" s="109">
        <f>SUM(F51)</f>
        <v>3587092.05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624175.40999999992</v>
      </c>
      <c r="H617" s="109">
        <f>SUM(G51)</f>
        <v>624175.40999999992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533020.9800000001</v>
      </c>
      <c r="H618" s="109">
        <f>SUM(H51)</f>
        <v>533020.98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1386567.81</v>
      </c>
      <c r="H620" s="109">
        <f>SUM(J51)</f>
        <v>1386567.81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2190100.04</v>
      </c>
      <c r="H621" s="109">
        <f>F475</f>
        <v>2190100.0400000066</v>
      </c>
      <c r="I621" s="121" t="s">
        <v>101</v>
      </c>
      <c r="J621" s="109">
        <f t="shared" ref="J621:J654" si="50">G621-H621</f>
        <v>-6.5192580223083496E-9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351046.6</v>
      </c>
      <c r="H622" s="109">
        <f>G475</f>
        <v>351046.59999999986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468626.58</v>
      </c>
      <c r="H623" s="109">
        <f>H475</f>
        <v>468626.58000000007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1386567.81</v>
      </c>
      <c r="H625" s="109">
        <f>J475</f>
        <v>1386567.81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46937217.949999996</v>
      </c>
      <c r="H626" s="104">
        <f>SUM(F467)</f>
        <v>46937217.950000003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919365.69</v>
      </c>
      <c r="H627" s="104">
        <f>SUM(G467)</f>
        <v>919365.69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1503151.96</v>
      </c>
      <c r="H628" s="104">
        <f>SUM(H467)</f>
        <v>1503151.96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130648.72</v>
      </c>
      <c r="H630" s="104">
        <f>SUM(J467)</f>
        <v>130648.72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46381235.969999991</v>
      </c>
      <c r="H631" s="104">
        <f>SUM(F471)</f>
        <v>46381235.969999999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1507837.69</v>
      </c>
      <c r="H632" s="104">
        <f>SUM(H471)</f>
        <v>1507837.69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430514.44999999995</v>
      </c>
      <c r="H633" s="104">
        <f>I368</f>
        <v>430514.45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904616.28</v>
      </c>
      <c r="H634" s="104">
        <f>SUM(G471)</f>
        <v>904616.28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130648.72</v>
      </c>
      <c r="H636" s="164">
        <f>SUM(J467)</f>
        <v>130648.72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389085.17</v>
      </c>
      <c r="H638" s="104">
        <f>SUM(F460)</f>
        <v>389085.17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997482.64</v>
      </c>
      <c r="H639" s="104">
        <f>SUM(G460)</f>
        <v>997482.64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1386567.81</v>
      </c>
      <c r="H641" s="104">
        <f>SUM(I460)</f>
        <v>1386567.81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5648.72</v>
      </c>
      <c r="H643" s="104">
        <f>H407</f>
        <v>5648.72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125000</v>
      </c>
      <c r="H644" s="104">
        <f>G407</f>
        <v>125000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130648.72</v>
      </c>
      <c r="H645" s="104">
        <f>L407</f>
        <v>130648.72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1752872.72</v>
      </c>
      <c r="H646" s="104">
        <f>L207+L225+L243</f>
        <v>1752872.72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192447.98</v>
      </c>
      <c r="H647" s="104">
        <f>(J256+J337)-(J254+J335)</f>
        <v>192447.98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800052.36</v>
      </c>
      <c r="H649" s="104">
        <f>I597</f>
        <v>800052.36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952820.36</v>
      </c>
      <c r="H650" s="104">
        <f>J597</f>
        <v>952820.3600000001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125000</v>
      </c>
      <c r="H654" s="104">
        <f>K265+K346</f>
        <v>125000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17643291.849999998</v>
      </c>
      <c r="H659" s="19">
        <f>(L246+L327+L359)</f>
        <v>25458035.18</v>
      </c>
      <c r="I659" s="19">
        <f>SUM(F659:H659)</f>
        <v>43101327.030000001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262533.6078182109</v>
      </c>
      <c r="H660" s="19">
        <f>(L359/IF(SUM(L357:L359)=0,1,SUM(L357:L359))*(SUM(G96:G109)))</f>
        <v>423775.70218178915</v>
      </c>
      <c r="I660" s="19">
        <f>SUM(F660:H660)</f>
        <v>686309.31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800052.36</v>
      </c>
      <c r="H661" s="19">
        <f>(L243+L324)-(J243+J324)</f>
        <v>952820.36</v>
      </c>
      <c r="I661" s="19">
        <f>SUM(F661:H661)</f>
        <v>1752872.72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0</v>
      </c>
      <c r="G662" s="199">
        <f>SUM(G574:G586)+SUM(I601:I603)+L611</f>
        <v>285965.74</v>
      </c>
      <c r="H662" s="199">
        <f>SUM(H574:H586)+SUM(J601:J603)+L612</f>
        <v>1303025.8899999999</v>
      </c>
      <c r="I662" s="19">
        <f>SUM(F662:H662)</f>
        <v>1588991.63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16294740.142181788</v>
      </c>
      <c r="H663" s="19">
        <f>H659-SUM(H660:H662)</f>
        <v>22778413.22781821</v>
      </c>
      <c r="I663" s="19">
        <f>I659-SUM(I660:I662)</f>
        <v>39073153.370000005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>
        <v>1360.11</v>
      </c>
      <c r="H664" s="248">
        <v>1720.29</v>
      </c>
      <c r="I664" s="19">
        <f>SUM(F664:H664)</f>
        <v>3080.3999999999996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>
        <f>ROUND(G663/G664,2)</f>
        <v>11980.46</v>
      </c>
      <c r="H666" s="19">
        <f>ROUND(H663/H664,2)</f>
        <v>13241.03</v>
      </c>
      <c r="I666" s="19">
        <f>ROUND(I663/I664,2)</f>
        <v>12684.44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115.92</v>
      </c>
      <c r="I669" s="19">
        <f>SUM(F669:H669)</f>
        <v>115.92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>
        <f>ROUND((G663+G668)/(G664+G669),2)</f>
        <v>11980.46</v>
      </c>
      <c r="H671" s="19">
        <f>ROUND((H663+H668)/(H664+H669),2)</f>
        <v>12405.12</v>
      </c>
      <c r="I671" s="19">
        <f>ROUND((I663+I668)/(I664+I669),2)</f>
        <v>12224.42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F39" sqref="F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Exeter Region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13382066.870000001</v>
      </c>
      <c r="C9" s="229">
        <f>'DOE25'!G196+'DOE25'!G214+'DOE25'!G232+'DOE25'!G275+'DOE25'!G294+'DOE25'!G313</f>
        <v>5526108.0999999996</v>
      </c>
    </row>
    <row r="10" spans="1:3" x14ac:dyDescent="0.2">
      <c r="A10" t="s">
        <v>779</v>
      </c>
      <c r="B10" s="240">
        <v>13004447.619999999</v>
      </c>
      <c r="C10" s="240">
        <v>5360324.8600000003</v>
      </c>
    </row>
    <row r="11" spans="1:3" x14ac:dyDescent="0.2">
      <c r="A11" t="s">
        <v>780</v>
      </c>
      <c r="B11" s="240">
        <v>377619.25</v>
      </c>
      <c r="C11" s="240">
        <v>165783.24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13382066.869999999</v>
      </c>
      <c r="C13" s="231">
        <f>SUM(C10:C12)</f>
        <v>5526108.1000000006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2745783.48</v>
      </c>
      <c r="C18" s="229">
        <f>'DOE25'!G197+'DOE25'!G215+'DOE25'!G233+'DOE25'!G276+'DOE25'!G295+'DOE25'!G314</f>
        <v>1135884.1099999999</v>
      </c>
    </row>
    <row r="19" spans="1:3" x14ac:dyDescent="0.2">
      <c r="A19" t="s">
        <v>779</v>
      </c>
      <c r="B19" s="240">
        <v>1707724.11</v>
      </c>
      <c r="C19" s="240">
        <v>704248.15</v>
      </c>
    </row>
    <row r="20" spans="1:3" x14ac:dyDescent="0.2">
      <c r="A20" t="s">
        <v>780</v>
      </c>
      <c r="B20" s="240">
        <v>1038059.37</v>
      </c>
      <c r="C20" s="240">
        <v>431635.96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2745783.48</v>
      </c>
      <c r="C22" s="231">
        <f>SUM(C19:C21)</f>
        <v>1135884.1100000001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1285575.69</v>
      </c>
      <c r="C27" s="234">
        <f>'DOE25'!G198+'DOE25'!G216+'DOE25'!G234+'DOE25'!G277+'DOE25'!G296+'DOE25'!G315</f>
        <v>489728.29000000004</v>
      </c>
    </row>
    <row r="28" spans="1:3" x14ac:dyDescent="0.2">
      <c r="A28" t="s">
        <v>779</v>
      </c>
      <c r="B28" s="240">
        <v>1184267.54</v>
      </c>
      <c r="C28" s="240">
        <v>455447.31</v>
      </c>
    </row>
    <row r="29" spans="1:3" x14ac:dyDescent="0.2">
      <c r="A29" t="s">
        <v>780</v>
      </c>
      <c r="B29" s="240">
        <v>101308.15</v>
      </c>
      <c r="C29" s="240">
        <v>34280.980000000003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1285575.69</v>
      </c>
      <c r="C31" s="231">
        <f>SUM(C28:C30)</f>
        <v>489728.29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528277.18000000005</v>
      </c>
      <c r="C36" s="235">
        <f>'DOE25'!G199+'DOE25'!G217+'DOE25'!G235+'DOE25'!G278+'DOE25'!G297+'DOE25'!G316</f>
        <v>212612.42</v>
      </c>
    </row>
    <row r="37" spans="1:3" x14ac:dyDescent="0.2">
      <c r="A37" t="s">
        <v>779</v>
      </c>
      <c r="B37" s="240">
        <v>438858.18</v>
      </c>
      <c r="C37" s="240">
        <v>176468.31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89419</v>
      </c>
      <c r="C39" s="240">
        <v>36144.11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528277.17999999993</v>
      </c>
      <c r="C40" s="231">
        <f>SUM(C37:C39)</f>
        <v>212612.41999999998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Exeter Region Cooperative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28008913.399999999</v>
      </c>
      <c r="D5" s="20">
        <f>SUM('DOE25'!L196:L199)+SUM('DOE25'!L214:L217)+SUM('DOE25'!L232:L235)-F5-G5</f>
        <v>27844762.559999999</v>
      </c>
      <c r="E5" s="243"/>
      <c r="F5" s="255">
        <f>SUM('DOE25'!J196:J199)+SUM('DOE25'!J214:J217)+SUM('DOE25'!J232:J235)</f>
        <v>163120.83999999997</v>
      </c>
      <c r="G5" s="53">
        <f>SUM('DOE25'!K196:K199)+SUM('DOE25'!K214:K217)+SUM('DOE25'!K232:K235)</f>
        <v>1030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2699511.17</v>
      </c>
      <c r="D6" s="20">
        <f>'DOE25'!L201+'DOE25'!L219+'DOE25'!L237-F6-G6</f>
        <v>2699511.17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501264.32000000007</v>
      </c>
      <c r="D7" s="20">
        <f>'DOE25'!L202+'DOE25'!L220+'DOE25'!L238-F7-G7</f>
        <v>501264.32000000007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1051462.24</v>
      </c>
      <c r="D8" s="243"/>
      <c r="E8" s="20">
        <f>'DOE25'!L203+'DOE25'!L221+'DOE25'!L239-F8-G8-D9-D11</f>
        <v>1051462.24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61044.82</v>
      </c>
      <c r="D9" s="244">
        <v>61044.82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24000</v>
      </c>
      <c r="D10" s="243"/>
      <c r="E10" s="244">
        <v>24000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262158.46999999997</v>
      </c>
      <c r="D11" s="244">
        <v>262158.46999999997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2395449.02</v>
      </c>
      <c r="D12" s="20">
        <f>'DOE25'!L204+'DOE25'!L222+'DOE25'!L240-F12-G12</f>
        <v>2372026.52</v>
      </c>
      <c r="E12" s="243"/>
      <c r="F12" s="255">
        <f>'DOE25'!J204+'DOE25'!J222+'DOE25'!J240</f>
        <v>5982.67</v>
      </c>
      <c r="G12" s="53">
        <f>'DOE25'!K204+'DOE25'!K222+'DOE25'!K240</f>
        <v>17439.830000000002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4605807.08</v>
      </c>
      <c r="D14" s="20">
        <f>'DOE25'!L206+'DOE25'!L224+'DOE25'!L242-F14-G14</f>
        <v>4586858.7</v>
      </c>
      <c r="E14" s="243"/>
      <c r="F14" s="255">
        <f>'DOE25'!J206+'DOE25'!J224+'DOE25'!J242</f>
        <v>18948.38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1752872.72</v>
      </c>
      <c r="D15" s="20">
        <f>'DOE25'!L207+'DOE25'!L225+'DOE25'!L243-F15-G15</f>
        <v>1752872.72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120124.73</v>
      </c>
      <c r="D17" s="20">
        <f>'DOE25'!L250-F17-G17</f>
        <v>120124.73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4497628</v>
      </c>
      <c r="D25" s="243"/>
      <c r="E25" s="243"/>
      <c r="F25" s="258"/>
      <c r="G25" s="256"/>
      <c r="H25" s="257">
        <f>'DOE25'!L259+'DOE25'!L260+'DOE25'!L340+'DOE25'!L341</f>
        <v>4497628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495947.69</v>
      </c>
      <c r="D29" s="20">
        <f>'DOE25'!L357+'DOE25'!L358+'DOE25'!L359-'DOE25'!I366-F29-G29</f>
        <v>476078.56</v>
      </c>
      <c r="E29" s="243"/>
      <c r="F29" s="255">
        <f>'DOE25'!J357+'DOE25'!J358+'DOE25'!J359</f>
        <v>12278.890000000001</v>
      </c>
      <c r="G29" s="53">
        <f>'DOE25'!K357+'DOE25'!K358+'DOE25'!K359</f>
        <v>7590.24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1507837.69</v>
      </c>
      <c r="D31" s="20">
        <f>'DOE25'!L289+'DOE25'!L308+'DOE25'!L327+'DOE25'!L332+'DOE25'!L333+'DOE25'!L334-F31-G31</f>
        <v>572391.08000000019</v>
      </c>
      <c r="E31" s="243"/>
      <c r="F31" s="255">
        <f>'DOE25'!J289+'DOE25'!J308+'DOE25'!J327+'DOE25'!J332+'DOE25'!J333+'DOE25'!J334</f>
        <v>4396.09</v>
      </c>
      <c r="G31" s="53">
        <f>'DOE25'!K289+'DOE25'!K308+'DOE25'!K327+'DOE25'!K332+'DOE25'!K333+'DOE25'!K334</f>
        <v>931050.5199999999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41249093.649999999</v>
      </c>
      <c r="E33" s="246">
        <f>SUM(E5:E31)</f>
        <v>1075462.24</v>
      </c>
      <c r="F33" s="246">
        <f>SUM(F5:F31)</f>
        <v>204726.87</v>
      </c>
      <c r="G33" s="246">
        <f>SUM(G5:G31)</f>
        <v>957110.58999999985</v>
      </c>
      <c r="H33" s="246">
        <f>SUM(H5:H31)</f>
        <v>4497628</v>
      </c>
    </row>
    <row r="35" spans="2:8" ht="12" thickBot="1" x14ac:dyDescent="0.25">
      <c r="B35" s="253" t="s">
        <v>847</v>
      </c>
      <c r="D35" s="254">
        <f>E33</f>
        <v>1075462.24</v>
      </c>
      <c r="E35" s="249"/>
    </row>
    <row r="36" spans="2:8" ht="12" thickTop="1" x14ac:dyDescent="0.2">
      <c r="B36" t="s">
        <v>815</v>
      </c>
      <c r="D36" s="20">
        <f>D33</f>
        <v>41249093.649999999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Region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2207421.5099999998</v>
      </c>
      <c r="D8" s="95">
        <f>'DOE25'!G9</f>
        <v>0</v>
      </c>
      <c r="E8" s="95">
        <f>'DOE25'!H9</f>
        <v>274094.38</v>
      </c>
      <c r="F8" s="95">
        <f>'DOE25'!I9</f>
        <v>0</v>
      </c>
      <c r="G8" s="95">
        <f>'DOE25'!J9</f>
        <v>1386567.81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738296.2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49716.4</v>
      </c>
      <c r="D11" s="95">
        <f>'DOE25'!G12</f>
        <v>314454.69</v>
      </c>
      <c r="E11" s="95">
        <f>'DOE25'!H12</f>
        <v>195869.92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401993.78</v>
      </c>
      <c r="D12" s="95">
        <f>'DOE25'!G13</f>
        <v>309720.71999999997</v>
      </c>
      <c r="E12" s="95">
        <f>'DOE25'!H13</f>
        <v>61757.4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35915.800000000003</v>
      </c>
      <c r="D13" s="95">
        <f>'DOE25'!G14</f>
        <v>0</v>
      </c>
      <c r="E13" s="95">
        <f>'DOE25'!H14</f>
        <v>1299.28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153748.35999999999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3587092.0499999993</v>
      </c>
      <c r="D18" s="41">
        <f>SUM(D8:D17)</f>
        <v>624175.40999999992</v>
      </c>
      <c r="E18" s="41">
        <f>SUM(E8:E17)</f>
        <v>533020.9800000001</v>
      </c>
      <c r="F18" s="41">
        <f>SUM(F8:F17)</f>
        <v>0</v>
      </c>
      <c r="G18" s="41">
        <f>SUM(G8:G17)</f>
        <v>1386567.81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510324.61</v>
      </c>
      <c r="D21" s="95">
        <f>'DOE25'!G22</f>
        <v>0</v>
      </c>
      <c r="E21" s="95">
        <f>'DOE25'!H22</f>
        <v>49716.4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748988.99</v>
      </c>
      <c r="D22" s="95">
        <f>'DOE25'!G23</f>
        <v>246240.81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36485.730000000003</v>
      </c>
      <c r="D23" s="95">
        <f>'DOE25'!G24</f>
        <v>0</v>
      </c>
      <c r="E23" s="95">
        <f>'DOE25'!H24</f>
        <v>858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10998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8815</v>
      </c>
      <c r="D29" s="95">
        <f>'DOE25'!G30</f>
        <v>26888</v>
      </c>
      <c r="E29" s="95">
        <f>'DOE25'!H30</f>
        <v>13820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81379.679999999993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1396992.01</v>
      </c>
      <c r="D31" s="41">
        <f>SUM(D21:D30)</f>
        <v>273128.81</v>
      </c>
      <c r="E31" s="41">
        <f>SUM(E21:E30)</f>
        <v>64394.400000000001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351046.6</v>
      </c>
      <c r="E46" s="95">
        <f>'DOE25'!H47</f>
        <v>468626.58</v>
      </c>
      <c r="F46" s="95">
        <f>'DOE25'!I47</f>
        <v>0</v>
      </c>
      <c r="G46" s="95">
        <f>'DOE25'!J47</f>
        <v>1386567.81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863196.37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1326903.67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2190100.04</v>
      </c>
      <c r="D49" s="41">
        <f>SUM(D34:D48)</f>
        <v>351046.6</v>
      </c>
      <c r="E49" s="41">
        <f>SUM(E34:E48)</f>
        <v>468626.58</v>
      </c>
      <c r="F49" s="41">
        <f>SUM(F34:F48)</f>
        <v>0</v>
      </c>
      <c r="G49" s="41">
        <f>SUM(G34:G48)</f>
        <v>1386567.81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3587092.05</v>
      </c>
      <c r="D50" s="41">
        <f>D49+D31</f>
        <v>624175.40999999992</v>
      </c>
      <c r="E50" s="41">
        <f>E49+E31</f>
        <v>533020.98</v>
      </c>
      <c r="F50" s="41">
        <f>F49+F31</f>
        <v>0</v>
      </c>
      <c r="G50" s="41">
        <f>G49+G31</f>
        <v>1386567.81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31728704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990782.6100000001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118459.43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1144.5</v>
      </c>
      <c r="D58" s="95">
        <f>'DOE25'!G95</f>
        <v>529.59</v>
      </c>
      <c r="E58" s="95">
        <f>'DOE25'!H95</f>
        <v>0</v>
      </c>
      <c r="F58" s="95">
        <f>'DOE25'!I95</f>
        <v>0</v>
      </c>
      <c r="G58" s="95">
        <f>'DOE25'!J95</f>
        <v>5648.72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633453.52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458868.01</v>
      </c>
      <c r="D60" s="95">
        <f>SUM('DOE25'!G97:G109)</f>
        <v>52855.79</v>
      </c>
      <c r="E60" s="95">
        <f>SUM('DOE25'!H97:H109)</f>
        <v>1037350.22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1450795.12</v>
      </c>
      <c r="D61" s="130">
        <f>SUM(D56:D60)</f>
        <v>686838.9</v>
      </c>
      <c r="E61" s="130">
        <f>SUM(E56:E60)</f>
        <v>1155809.6499999999</v>
      </c>
      <c r="F61" s="130">
        <f>SUM(F56:F60)</f>
        <v>0</v>
      </c>
      <c r="G61" s="130">
        <f>SUM(G56:G60)</f>
        <v>5648.72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33179499.120000001</v>
      </c>
      <c r="D62" s="22">
        <f>D55+D61</f>
        <v>686838.9</v>
      </c>
      <c r="E62" s="22">
        <f>E55+E61</f>
        <v>1155809.6499999999</v>
      </c>
      <c r="F62" s="22">
        <f>F55+F61</f>
        <v>0</v>
      </c>
      <c r="G62" s="22">
        <f>G55+G61</f>
        <v>5648.72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5116249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5384111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1856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10502216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1673573.58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333619.99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1057362.3899999999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8314.33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3064555.96</v>
      </c>
      <c r="D77" s="130">
        <f>SUM(D71:D76)</f>
        <v>8314.33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13566771.960000001</v>
      </c>
      <c r="D80" s="130">
        <f>SUM(D78:D79)+D77+D69</f>
        <v>8314.33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22415.42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168531.45</v>
      </c>
      <c r="D87" s="95">
        <f>SUM('DOE25'!G152:G160)</f>
        <v>224212.46</v>
      </c>
      <c r="E87" s="95">
        <f>SUM('DOE25'!H152:H160)</f>
        <v>347342.31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190946.87</v>
      </c>
      <c r="D90" s="131">
        <f>SUM(D84:D89)</f>
        <v>224212.46</v>
      </c>
      <c r="E90" s="131">
        <f>SUM(E84:E89)</f>
        <v>347342.31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125000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125000</v>
      </c>
    </row>
    <row r="103" spans="1:7" ht="12.75" thickTop="1" thickBot="1" x14ac:dyDescent="0.25">
      <c r="A103" s="33" t="s">
        <v>765</v>
      </c>
      <c r="C103" s="86">
        <f>C62+C80+C90+C102</f>
        <v>46937217.949999996</v>
      </c>
      <c r="D103" s="86">
        <f>D62+D80+D90+D102</f>
        <v>919365.69</v>
      </c>
      <c r="E103" s="86">
        <f>E62+E80+E90+E102</f>
        <v>1503151.96</v>
      </c>
      <c r="F103" s="86">
        <f>F62+F80+F90+F102</f>
        <v>0</v>
      </c>
      <c r="G103" s="86">
        <f>G62+G80+G102</f>
        <v>130648.72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19832666.199999996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5329334.07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1895901</v>
      </c>
      <c r="D110" s="24" t="s">
        <v>289</v>
      </c>
      <c r="E110" s="95">
        <f>('DOE25'!L277)+('DOE25'!L296)+('DOE25'!L315)</f>
        <v>107777.70999999999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951012.13000000012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120124.73</v>
      </c>
      <c r="D113" s="24" t="s">
        <v>289</v>
      </c>
      <c r="E113" s="95">
        <f>+ SUM('DOE25'!L332:L334)</f>
        <v>649610.17999999993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28129038.129999995</v>
      </c>
      <c r="D114" s="86">
        <f>SUM(D108:D113)</f>
        <v>0</v>
      </c>
      <c r="E114" s="86">
        <f>SUM(E108:E113)</f>
        <v>757387.8899999999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2699511.17</v>
      </c>
      <c r="D117" s="24" t="s">
        <v>289</v>
      </c>
      <c r="E117" s="95">
        <f>+('DOE25'!L280)+('DOE25'!L299)+('DOE25'!L318)</f>
        <v>750449.8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501264.32000000007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1374665.53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2395449.02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4605807.08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1752872.72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904616.28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13329569.840000002</v>
      </c>
      <c r="D127" s="86">
        <f>SUM(D117:D126)</f>
        <v>904616.28</v>
      </c>
      <c r="E127" s="86">
        <f>SUM(E117:E126)</f>
        <v>750449.8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2664791.29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1832836.71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1713.64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128935.08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-5648.7200000000012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300000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4922628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46381235.969999999</v>
      </c>
      <c r="D144" s="86">
        <f>(D114+D127+D143)</f>
        <v>904616.28</v>
      </c>
      <c r="E144" s="86">
        <f>(E114+E127+E143)</f>
        <v>1507837.69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1/97</v>
      </c>
      <c r="C151" s="152" t="str">
        <f>'DOE25'!G490</f>
        <v>8/03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1/15/17</v>
      </c>
      <c r="C152" s="152" t="str">
        <f>'DOE25'!G491</f>
        <v>8/15/23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15600000</v>
      </c>
      <c r="C153" s="137">
        <f>'DOE25'!G492</f>
        <v>42695000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5.4626000000000001</v>
      </c>
      <c r="C154" s="137">
        <f>'DOE25'!G493</f>
        <v>3.6970000000000001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2279499.29</v>
      </c>
      <c r="C155" s="137">
        <f>'DOE25'!G494</f>
        <v>20425026.210000001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22704525.5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511898.30000000005</v>
      </c>
      <c r="C157" s="137">
        <f>'DOE25'!G496</f>
        <v>2152892.9900000021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2664791.2900000019</v>
      </c>
    </row>
    <row r="158" spans="1:9" x14ac:dyDescent="0.2">
      <c r="A158" s="22" t="s">
        <v>35</v>
      </c>
      <c r="B158" s="137">
        <f>'DOE25'!F497</f>
        <v>1767600.99</v>
      </c>
      <c r="C158" s="137">
        <f>'DOE25'!G497</f>
        <v>18272133.219999999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20039734.209999997</v>
      </c>
    </row>
    <row r="159" spans="1:9" x14ac:dyDescent="0.2">
      <c r="A159" s="22" t="s">
        <v>36</v>
      </c>
      <c r="B159" s="137">
        <f>'DOE25'!F498</f>
        <v>3459199.01</v>
      </c>
      <c r="C159" s="137">
        <f>'DOE25'!G498</f>
        <v>16519541.779999999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19978740.789999999</v>
      </c>
    </row>
    <row r="160" spans="1:9" x14ac:dyDescent="0.2">
      <c r="A160" s="22" t="s">
        <v>37</v>
      </c>
      <c r="B160" s="137">
        <f>'DOE25'!F499</f>
        <v>5226800</v>
      </c>
      <c r="C160" s="137">
        <f>'DOE25'!G499</f>
        <v>34791675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40018475</v>
      </c>
    </row>
    <row r="161" spans="1:7" x14ac:dyDescent="0.2">
      <c r="A161" s="22" t="s">
        <v>38</v>
      </c>
      <c r="B161" s="137">
        <f>'DOE25'!F500</f>
        <v>482028.31</v>
      </c>
      <c r="C161" s="137">
        <f>'DOE25'!G500</f>
        <v>2059691.38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2541719.69</v>
      </c>
    </row>
    <row r="162" spans="1:7" x14ac:dyDescent="0.2">
      <c r="A162" s="22" t="s">
        <v>39</v>
      </c>
      <c r="B162" s="137">
        <f>'DOE25'!F501</f>
        <v>824871.69</v>
      </c>
      <c r="C162" s="137">
        <f>'DOE25'!G501</f>
        <v>1132286.6200000001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1957158.31</v>
      </c>
    </row>
    <row r="163" spans="1:7" x14ac:dyDescent="0.2">
      <c r="A163" s="22" t="s">
        <v>246</v>
      </c>
      <c r="B163" s="137">
        <f>'DOE25'!F502</f>
        <v>1306900</v>
      </c>
      <c r="C163" s="137">
        <f>'DOE25'!G502</f>
        <v>3191978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4498878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Exeter Region Cooperative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11980</v>
      </c>
    </row>
    <row r="6" spans="1:4" x14ac:dyDescent="0.2">
      <c r="B6" t="s">
        <v>62</v>
      </c>
      <c r="C6" s="179">
        <f>IF('DOE25'!H664+'DOE25'!H669=0,0,ROUND('DOE25'!H671,0))</f>
        <v>12405</v>
      </c>
    </row>
    <row r="7" spans="1:4" x14ac:dyDescent="0.2">
      <c r="B7" t="s">
        <v>705</v>
      </c>
      <c r="C7" s="179">
        <f>IF('DOE25'!I664+'DOE25'!I669=0,0,ROUND('DOE25'!I671,0))</f>
        <v>12224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19832666</v>
      </c>
      <c r="D10" s="182">
        <f>ROUND((C10/$C$28)*100,1)</f>
        <v>43.8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5329334</v>
      </c>
      <c r="D11" s="182">
        <f>ROUND((C11/$C$28)*100,1)</f>
        <v>11.8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2003679</v>
      </c>
      <c r="D12" s="182">
        <f>ROUND((C12/$C$28)*100,1)</f>
        <v>4.4000000000000004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951012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3449961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501264</v>
      </c>
      <c r="D16" s="182">
        <f t="shared" si="0"/>
        <v>1.1000000000000001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1374666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2395449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4605807</v>
      </c>
      <c r="D20" s="182">
        <f t="shared" si="0"/>
        <v>10.199999999999999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1752873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769735</v>
      </c>
      <c r="D24" s="182">
        <f t="shared" si="0"/>
        <v>1.7</v>
      </c>
    </row>
    <row r="25" spans="1:4" x14ac:dyDescent="0.2">
      <c r="A25">
        <v>5120</v>
      </c>
      <c r="B25" t="s">
        <v>720</v>
      </c>
      <c r="C25" s="179">
        <f>ROUND('DOE25'!L260+'DOE25'!L341,0)</f>
        <v>1832837</v>
      </c>
      <c r="D25" s="182">
        <f t="shared" si="0"/>
        <v>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300000</v>
      </c>
      <c r="D26" s="182">
        <f t="shared" si="0"/>
        <v>0.7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218306.68999999994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45317589.689999998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45317589.689999998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2664791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31728704</v>
      </c>
      <c r="D35" s="182">
        <f t="shared" ref="D35:D40" si="1">ROUND((C35/$C$41)*100,1)</f>
        <v>65.2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2612783.0799999982</v>
      </c>
      <c r="D36" s="182">
        <f t="shared" si="1"/>
        <v>5.4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10500360</v>
      </c>
      <c r="D37" s="182">
        <f t="shared" si="1"/>
        <v>21.6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3074726</v>
      </c>
      <c r="D38" s="182">
        <f t="shared" si="1"/>
        <v>6.3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762502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48679075.079999998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21" sqref="C21:M2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Exeter Region Cooperative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5</v>
      </c>
      <c r="B4" s="219">
        <v>14</v>
      </c>
      <c r="C4" s="285" t="s">
        <v>914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1" t="s">
        <v>915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18</v>
      </c>
      <c r="B8" s="219">
        <v>1</v>
      </c>
      <c r="C8" s="285" t="s">
        <v>916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>
        <v>19</v>
      </c>
      <c r="B11" s="219">
        <v>1</v>
      </c>
      <c r="C11" s="285" t="s">
        <v>917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>
        <v>21</v>
      </c>
      <c r="B14" s="219">
        <v>13</v>
      </c>
      <c r="C14" s="285" t="s">
        <v>918</v>
      </c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>
        <v>21</v>
      </c>
      <c r="B15" s="219">
        <v>14</v>
      </c>
      <c r="C15" s="285" t="s">
        <v>918</v>
      </c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2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2013-09-17T14:09:59Z</cp:lastPrinted>
  <dcterms:created xsi:type="dcterms:W3CDTF">1997-12-04T19:04:30Z</dcterms:created>
  <dcterms:modified xsi:type="dcterms:W3CDTF">2013-12-05T18:40:53Z</dcterms:modified>
</cp:coreProperties>
</file>