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J95" i="1" l="1"/>
  <c r="J467" i="1"/>
  <c r="H388" i="1"/>
  <c r="H399" i="1"/>
  <c r="H394" i="1"/>
  <c r="G439" i="1"/>
  <c r="F439" i="1"/>
  <c r="G388" i="1" l="1"/>
  <c r="J178" i="1"/>
  <c r="K265" i="1"/>
  <c r="F471" i="1"/>
  <c r="J603" i="1"/>
  <c r="H603" i="1"/>
  <c r="H590" i="1"/>
  <c r="J590" i="1"/>
  <c r="H47" i="1" l="1"/>
  <c r="H367" i="1" l="1"/>
  <c r="H366" i="1"/>
  <c r="F275" i="1"/>
  <c r="I319" i="1"/>
  <c r="H319" i="1"/>
  <c r="H313" i="1"/>
  <c r="K343" i="1"/>
  <c r="G282" i="1"/>
  <c r="F282" i="1"/>
  <c r="G280" i="1"/>
  <c r="F280" i="1"/>
  <c r="I276" i="1"/>
  <c r="J275" i="1"/>
  <c r="I275" i="1"/>
  <c r="H275" i="1"/>
  <c r="G275" i="1"/>
  <c r="H324" i="1"/>
  <c r="K319" i="1"/>
  <c r="J315" i="1"/>
  <c r="I315" i="1"/>
  <c r="H335" i="1"/>
  <c r="H286" i="1"/>
  <c r="G284" i="1"/>
  <c r="F284" i="1"/>
  <c r="I283" i="1"/>
  <c r="H283" i="1"/>
  <c r="G283" i="1"/>
  <c r="F283" i="1"/>
  <c r="I282" i="1"/>
  <c r="H276" i="1"/>
  <c r="F276" i="1"/>
  <c r="F196" i="1" l="1"/>
  <c r="I243" i="1"/>
  <c r="H243" i="1"/>
  <c r="G243" i="1"/>
  <c r="F243" i="1"/>
  <c r="I207" i="1"/>
  <c r="H207" i="1"/>
  <c r="G207" i="1"/>
  <c r="F207" i="1"/>
  <c r="H254" i="1"/>
  <c r="J242" i="1"/>
  <c r="I242" i="1"/>
  <c r="H242" i="1"/>
  <c r="G242" i="1"/>
  <c r="F242" i="1"/>
  <c r="F240" i="1"/>
  <c r="K239" i="1"/>
  <c r="J239" i="1"/>
  <c r="I239" i="1"/>
  <c r="H239" i="1"/>
  <c r="G239" i="1"/>
  <c r="F239" i="1"/>
  <c r="K238" i="1"/>
  <c r="I238" i="1"/>
  <c r="H238" i="1"/>
  <c r="G238" i="1"/>
  <c r="F238" i="1"/>
  <c r="J238" i="1"/>
  <c r="H237" i="1"/>
  <c r="G237" i="1"/>
  <c r="F237" i="1"/>
  <c r="K233" i="1"/>
  <c r="J233" i="1"/>
  <c r="I233" i="1"/>
  <c r="H233" i="1"/>
  <c r="G233" i="1"/>
  <c r="F233" i="1"/>
  <c r="J232" i="1"/>
  <c r="I232" i="1"/>
  <c r="H232" i="1"/>
  <c r="G232" i="1"/>
  <c r="F232" i="1"/>
  <c r="K262" i="1"/>
  <c r="K260" i="1"/>
  <c r="K259" i="1"/>
  <c r="K240" i="1"/>
  <c r="J240" i="1"/>
  <c r="I240" i="1"/>
  <c r="H240" i="1"/>
  <c r="G240" i="1"/>
  <c r="K237" i="1"/>
  <c r="J237" i="1"/>
  <c r="I237" i="1"/>
  <c r="K235" i="1"/>
  <c r="J235" i="1"/>
  <c r="I235" i="1"/>
  <c r="H235" i="1"/>
  <c r="G235" i="1"/>
  <c r="F235" i="1"/>
  <c r="K234" i="1"/>
  <c r="J234" i="1"/>
  <c r="I234" i="1"/>
  <c r="H234" i="1"/>
  <c r="G234" i="1"/>
  <c r="F234" i="1"/>
  <c r="K232" i="1"/>
  <c r="J206" i="1"/>
  <c r="I206" i="1"/>
  <c r="H206" i="1"/>
  <c r="G206" i="1"/>
  <c r="F206" i="1"/>
  <c r="K203" i="1"/>
  <c r="J203" i="1"/>
  <c r="I203" i="1"/>
  <c r="H203" i="1"/>
  <c r="G203" i="1"/>
  <c r="F203" i="1"/>
  <c r="K202" i="1"/>
  <c r="J202" i="1"/>
  <c r="I202" i="1"/>
  <c r="H202" i="1"/>
  <c r="G202" i="1"/>
  <c r="F202" i="1"/>
  <c r="H201" i="1"/>
  <c r="K197" i="1"/>
  <c r="J197" i="1"/>
  <c r="I197" i="1"/>
  <c r="H197" i="1"/>
  <c r="G197" i="1"/>
  <c r="F197" i="1"/>
  <c r="J196" i="1"/>
  <c r="I196" i="1"/>
  <c r="H196" i="1"/>
  <c r="G196" i="1"/>
  <c r="J201" i="1"/>
  <c r="I201" i="1"/>
  <c r="G201" i="1"/>
  <c r="F201" i="1"/>
  <c r="F67" i="1"/>
  <c r="F117" i="1"/>
  <c r="F56" i="1"/>
  <c r="H14" i="1" l="1"/>
  <c r="H12" i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7" i="10" s="1"/>
  <c r="D39" i="13"/>
  <c r="F13" i="13"/>
  <c r="G13" i="13"/>
  <c r="L205" i="1"/>
  <c r="C121" i="2" s="1"/>
  <c r="L223" i="1"/>
  <c r="L241" i="1"/>
  <c r="F16" i="13"/>
  <c r="G16" i="13"/>
  <c r="E16" i="13" s="1"/>
  <c r="C16" i="13" s="1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46" i="1" s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L222" i="1"/>
  <c r="L240" i="1"/>
  <c r="D12" i="13" s="1"/>
  <c r="C12" i="13" s="1"/>
  <c r="F14" i="13"/>
  <c r="G14" i="13"/>
  <c r="L206" i="1"/>
  <c r="L224" i="1"/>
  <c r="C122" i="2" s="1"/>
  <c r="L242" i="1"/>
  <c r="F15" i="13"/>
  <c r="G15" i="13"/>
  <c r="L207" i="1"/>
  <c r="C123" i="2" s="1"/>
  <c r="L225" i="1"/>
  <c r="L243" i="1"/>
  <c r="F17" i="13"/>
  <c r="G17" i="13"/>
  <c r="D17" i="13" s="1"/>
  <c r="C17" i="13" s="1"/>
  <c r="L250" i="1"/>
  <c r="F18" i="13"/>
  <c r="G18" i="13"/>
  <c r="L251" i="1"/>
  <c r="C113" i="2" s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L260" i="1"/>
  <c r="C25" i="10" s="1"/>
  <c r="L340" i="1"/>
  <c r="L341" i="1"/>
  <c r="L254" i="1"/>
  <c r="L335" i="1"/>
  <c r="F22" i="13" s="1"/>
  <c r="C22" i="13" s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C9" i="12"/>
  <c r="C13" i="12"/>
  <c r="B18" i="12"/>
  <c r="B22" i="12"/>
  <c r="C18" i="12"/>
  <c r="C22" i="12"/>
  <c r="B1" i="12"/>
  <c r="L386" i="1"/>
  <c r="L387" i="1"/>
  <c r="L392" i="1" s="1"/>
  <c r="C137" i="2" s="1"/>
  <c r="L388" i="1"/>
  <c r="L389" i="1"/>
  <c r="L390" i="1"/>
  <c r="L391" i="1"/>
  <c r="L394" i="1"/>
  <c r="L395" i="1"/>
  <c r="L396" i="1"/>
  <c r="L397" i="1"/>
  <c r="L400" i="1" s="1"/>
  <c r="C138" i="2" s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C61" i="2" s="1"/>
  <c r="C62" i="2" s="1"/>
  <c r="F93" i="1"/>
  <c r="F110" i="1"/>
  <c r="G110" i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I146" i="1"/>
  <c r="I161" i="1"/>
  <c r="C13" i="10"/>
  <c r="L249" i="1"/>
  <c r="L331" i="1"/>
  <c r="C23" i="10" s="1"/>
  <c r="L253" i="1"/>
  <c r="L267" i="1"/>
  <c r="L268" i="1"/>
  <c r="C142" i="2" s="1"/>
  <c r="L348" i="1"/>
  <c r="L349" i="1"/>
  <c r="I664" i="1"/>
  <c r="I669" i="1"/>
  <c r="H661" i="1"/>
  <c r="I668" i="1"/>
  <c r="C42" i="10"/>
  <c r="C32" i="10"/>
  <c r="L373" i="1"/>
  <c r="L374" i="1"/>
  <c r="F129" i="2" s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K548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K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J269" i="1"/>
  <c r="I269" i="1"/>
  <c r="H269" i="1"/>
  <c r="L269" i="1" s="1"/>
  <c r="G269" i="1"/>
  <c r="F269" i="1"/>
  <c r="C130" i="2"/>
  <c r="A1" i="2"/>
  <c r="A2" i="2"/>
  <c r="C8" i="2"/>
  <c r="D8" i="2"/>
  <c r="D18" i="2" s="1"/>
  <c r="E8" i="2"/>
  <c r="F8" i="2"/>
  <c r="I438" i="1"/>
  <c r="J9" i="1" s="1"/>
  <c r="G8" i="2" s="1"/>
  <c r="C9" i="2"/>
  <c r="C18" i="2" s="1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F31" i="2" s="1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C49" i="2" s="1"/>
  <c r="C50" i="2" s="1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D80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F102" i="2" s="1"/>
  <c r="C93" i="2"/>
  <c r="F93" i="2"/>
  <c r="D95" i="2"/>
  <c r="E95" i="2"/>
  <c r="E102" i="2" s="1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9" i="2"/>
  <c r="E110" i="2"/>
  <c r="C111" i="2"/>
  <c r="E111" i="2"/>
  <c r="C112" i="2"/>
  <c r="D114" i="2"/>
  <c r="F114" i="2"/>
  <c r="G114" i="2"/>
  <c r="E118" i="2"/>
  <c r="E119" i="2"/>
  <c r="E122" i="2"/>
  <c r="C124" i="2"/>
  <c r="E124" i="2"/>
  <c r="D126" i="2"/>
  <c r="D127" i="2" s="1"/>
  <c r="F127" i="2"/>
  <c r="G127" i="2"/>
  <c r="C129" i="2"/>
  <c r="E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G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F256" i="1" s="1"/>
  <c r="F270" i="1" s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G256" i="1" s="1"/>
  <c r="G270" i="1" s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J644" i="1" s="1"/>
  <c r="H400" i="1"/>
  <c r="I400" i="1"/>
  <c r="F406" i="1"/>
  <c r="G406" i="1"/>
  <c r="H406" i="1"/>
  <c r="I406" i="1"/>
  <c r="F407" i="1"/>
  <c r="H642" i="1" s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L432" i="1" s="1"/>
  <c r="F432" i="1"/>
  <c r="G432" i="1"/>
  <c r="H432" i="1"/>
  <c r="I432" i="1"/>
  <c r="J432" i="1"/>
  <c r="F445" i="1"/>
  <c r="G445" i="1"/>
  <c r="H445" i="1"/>
  <c r="F451" i="1"/>
  <c r="G451" i="1"/>
  <c r="H451" i="1"/>
  <c r="F459" i="1"/>
  <c r="G459" i="1"/>
  <c r="H459" i="1"/>
  <c r="F460" i="1"/>
  <c r="G460" i="1"/>
  <c r="H639" i="1" s="1"/>
  <c r="H460" i="1"/>
  <c r="H640" i="1" s="1"/>
  <c r="F469" i="1"/>
  <c r="G469" i="1"/>
  <c r="H469" i="1"/>
  <c r="I469" i="1"/>
  <c r="I475" i="1" s="1"/>
  <c r="H624" i="1" s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G544" i="1" s="1"/>
  <c r="H528" i="1"/>
  <c r="I528" i="1"/>
  <c r="J528" i="1"/>
  <c r="K528" i="1"/>
  <c r="K544" i="1" s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9" i="1" s="1"/>
  <c r="L558" i="1"/>
  <c r="F559" i="1"/>
  <c r="G559" i="1"/>
  <c r="H559" i="1"/>
  <c r="H570" i="1" s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9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J638" i="1" s="1"/>
  <c r="H638" i="1"/>
  <c r="G639" i="1"/>
  <c r="G640" i="1"/>
  <c r="G642" i="1"/>
  <c r="J642" i="1" s="1"/>
  <c r="G643" i="1"/>
  <c r="G644" i="1"/>
  <c r="G648" i="1"/>
  <c r="G649" i="1"/>
  <c r="G650" i="1"/>
  <c r="G651" i="1"/>
  <c r="H651" i="1"/>
  <c r="G652" i="1"/>
  <c r="H652" i="1"/>
  <c r="G653" i="1"/>
  <c r="H653" i="1"/>
  <c r="H654" i="1"/>
  <c r="J654" i="1" s="1"/>
  <c r="G159" i="2"/>
  <c r="L327" i="1"/>
  <c r="C69" i="2"/>
  <c r="A40" i="12"/>
  <c r="E49" i="2"/>
  <c r="D18" i="13"/>
  <c r="C18" i="13" s="1"/>
  <c r="E18" i="2"/>
  <c r="G158" i="2"/>
  <c r="C90" i="2"/>
  <c r="G80" i="2"/>
  <c r="F61" i="2"/>
  <c r="F62" i="2" s="1"/>
  <c r="D49" i="2"/>
  <c r="G156" i="2"/>
  <c r="F18" i="2"/>
  <c r="G155" i="2"/>
  <c r="G102" i="2"/>
  <c r="D90" i="2"/>
  <c r="F90" i="2"/>
  <c r="C31" i="2"/>
  <c r="G61" i="2"/>
  <c r="D19" i="13"/>
  <c r="C19" i="13" s="1"/>
  <c r="E77" i="2"/>
  <c r="L426" i="1"/>
  <c r="J570" i="1"/>
  <c r="I168" i="1"/>
  <c r="H168" i="1"/>
  <c r="J475" i="1"/>
  <c r="H625" i="1" s="1"/>
  <c r="F475" i="1"/>
  <c r="H621" i="1" s="1"/>
  <c r="G475" i="1"/>
  <c r="H622" i="1" s="1"/>
  <c r="J622" i="1" s="1"/>
  <c r="J139" i="1"/>
  <c r="H256" i="1"/>
  <c r="H270" i="1" s="1"/>
  <c r="I551" i="1"/>
  <c r="G22" i="2"/>
  <c r="C29" i="10"/>
  <c r="H139" i="1"/>
  <c r="H337" i="1"/>
  <c r="H351" i="1" s="1"/>
  <c r="L308" i="1"/>
  <c r="D5" i="13"/>
  <c r="C5" i="13" s="1"/>
  <c r="I570" i="1"/>
  <c r="G36" i="2"/>
  <c r="L564" i="1"/>
  <c r="C102" i="2" l="1"/>
  <c r="A31" i="12"/>
  <c r="J640" i="1"/>
  <c r="E121" i="2"/>
  <c r="C110" i="2"/>
  <c r="C35" i="10"/>
  <c r="H551" i="1"/>
  <c r="K549" i="1"/>
  <c r="K551" i="1" s="1"/>
  <c r="E80" i="2"/>
  <c r="E8" i="13"/>
  <c r="C8" i="13" s="1"/>
  <c r="C26" i="10"/>
  <c r="H646" i="1"/>
  <c r="K256" i="1"/>
  <c r="K270" i="1" s="1"/>
  <c r="G191" i="1"/>
  <c r="F191" i="1"/>
  <c r="C117" i="2"/>
  <c r="C131" i="2"/>
  <c r="C12" i="10"/>
  <c r="G111" i="1"/>
  <c r="H659" i="1"/>
  <c r="E108" i="2"/>
  <c r="E114" i="2" s="1"/>
  <c r="F551" i="1"/>
  <c r="H25" i="13"/>
  <c r="C25" i="13" s="1"/>
  <c r="F111" i="1"/>
  <c r="D6" i="13"/>
  <c r="C6" i="13" s="1"/>
  <c r="K604" i="1"/>
  <c r="G647" i="1" s="1"/>
  <c r="L569" i="1"/>
  <c r="L543" i="1"/>
  <c r="I544" i="1"/>
  <c r="L523" i="1"/>
  <c r="H544" i="1"/>
  <c r="D144" i="2"/>
  <c r="E112" i="2"/>
  <c r="F661" i="1"/>
  <c r="I661" i="1"/>
  <c r="E123" i="2"/>
  <c r="G660" i="1"/>
  <c r="C120" i="2"/>
  <c r="C16" i="10"/>
  <c r="L228" i="1"/>
  <c r="C10" i="10"/>
  <c r="J544" i="1"/>
  <c r="H111" i="1"/>
  <c r="D15" i="13"/>
  <c r="C15" i="13" s="1"/>
  <c r="L350" i="1"/>
  <c r="L613" i="1"/>
  <c r="L528" i="1"/>
  <c r="K499" i="1"/>
  <c r="H475" i="1"/>
  <c r="H623" i="1" s="1"/>
  <c r="J624" i="1"/>
  <c r="I459" i="1"/>
  <c r="I451" i="1"/>
  <c r="I445" i="1"/>
  <c r="G641" i="1" s="1"/>
  <c r="G337" i="1"/>
  <c r="G351" i="1" s="1"/>
  <c r="G163" i="2"/>
  <c r="G162" i="2"/>
  <c r="G161" i="2"/>
  <c r="G157" i="2"/>
  <c r="E143" i="2"/>
  <c r="E61" i="2"/>
  <c r="E62" i="2" s="1"/>
  <c r="J643" i="1"/>
  <c r="J639" i="1"/>
  <c r="L418" i="1"/>
  <c r="L433" i="1" s="1"/>
  <c r="G637" i="1" s="1"/>
  <c r="J637" i="1" s="1"/>
  <c r="I256" i="1"/>
  <c r="I270" i="1" s="1"/>
  <c r="H33" i="13"/>
  <c r="F50" i="2"/>
  <c r="J648" i="1"/>
  <c r="G621" i="1"/>
  <c r="K502" i="1"/>
  <c r="E120" i="2"/>
  <c r="E50" i="2"/>
  <c r="G623" i="1"/>
  <c r="I368" i="1"/>
  <c r="H633" i="1" s="1"/>
  <c r="J633" i="1" s="1"/>
  <c r="F660" i="1"/>
  <c r="D29" i="13"/>
  <c r="C29" i="13" s="1"/>
  <c r="H660" i="1"/>
  <c r="E117" i="2"/>
  <c r="E127" i="2" s="1"/>
  <c r="F337" i="1"/>
  <c r="F351" i="1" s="1"/>
  <c r="L336" i="1"/>
  <c r="L289" i="1"/>
  <c r="L337" i="1" s="1"/>
  <c r="C21" i="10"/>
  <c r="C19" i="10"/>
  <c r="E13" i="13"/>
  <c r="C13" i="13" s="1"/>
  <c r="C119" i="2"/>
  <c r="C20" i="10"/>
  <c r="C18" i="10"/>
  <c r="C118" i="2"/>
  <c r="C11" i="10"/>
  <c r="J256" i="1"/>
  <c r="J270" i="1" s="1"/>
  <c r="J646" i="1"/>
  <c r="D14" i="13"/>
  <c r="C14" i="13" s="1"/>
  <c r="C127" i="2"/>
  <c r="D7" i="13"/>
  <c r="C7" i="13" s="1"/>
  <c r="C109" i="2"/>
  <c r="C114" i="2" s="1"/>
  <c r="L210" i="1"/>
  <c r="L256" i="1" s="1"/>
  <c r="L270" i="1" s="1"/>
  <c r="G631" i="1" s="1"/>
  <c r="J631" i="1" s="1"/>
  <c r="C80" i="2"/>
  <c r="C103" i="2" s="1"/>
  <c r="J621" i="1"/>
  <c r="J616" i="1"/>
  <c r="C24" i="10"/>
  <c r="G659" i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G49" i="2" s="1"/>
  <c r="G50" i="2" s="1"/>
  <c r="J50" i="1"/>
  <c r="G16" i="2"/>
  <c r="G18" i="2" s="1"/>
  <c r="J19" i="1"/>
  <c r="G620" i="1" s="1"/>
  <c r="F544" i="1"/>
  <c r="H433" i="1"/>
  <c r="J619" i="1"/>
  <c r="J618" i="1"/>
  <c r="D102" i="2"/>
  <c r="D103" i="2" s="1"/>
  <c r="I139" i="1"/>
  <c r="A22" i="12"/>
  <c r="H647" i="1"/>
  <c r="J647" i="1" s="1"/>
  <c r="J651" i="1"/>
  <c r="G570" i="1"/>
  <c r="I433" i="1"/>
  <c r="G433" i="1"/>
  <c r="E103" i="2"/>
  <c r="I662" i="1"/>
  <c r="C27" i="10"/>
  <c r="G634" i="1"/>
  <c r="J634" i="1" s="1"/>
  <c r="E144" i="2" l="1"/>
  <c r="I660" i="1"/>
  <c r="J623" i="1"/>
  <c r="I460" i="1"/>
  <c r="H641" i="1" s="1"/>
  <c r="J641" i="1" s="1"/>
  <c r="C143" i="2"/>
  <c r="G663" i="1"/>
  <c r="G671" i="1" s="1"/>
  <c r="C5" i="10" s="1"/>
  <c r="I192" i="1"/>
  <c r="G629" i="1" s="1"/>
  <c r="J629" i="1" s="1"/>
  <c r="L351" i="1"/>
  <c r="G632" i="1" s="1"/>
  <c r="J632" i="1" s="1"/>
  <c r="L544" i="1"/>
  <c r="H645" i="1"/>
  <c r="J645" i="1" s="1"/>
  <c r="E33" i="13"/>
  <c r="D35" i="13" s="1"/>
  <c r="G666" i="1"/>
  <c r="H663" i="1"/>
  <c r="D31" i="13"/>
  <c r="C31" i="13" s="1"/>
  <c r="C28" i="10"/>
  <c r="D24" i="10" s="1"/>
  <c r="F659" i="1"/>
  <c r="C144" i="2"/>
  <c r="G630" i="1"/>
  <c r="J630" i="1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3" i="10" l="1"/>
  <c r="H671" i="1"/>
  <c r="C6" i="10" s="1"/>
  <c r="H666" i="1"/>
  <c r="D10" i="10"/>
  <c r="D13" i="10"/>
  <c r="D26" i="10"/>
  <c r="D11" i="10"/>
  <c r="C30" i="10"/>
  <c r="D21" i="10"/>
  <c r="D16" i="10"/>
  <c r="D22" i="10"/>
  <c r="D27" i="10"/>
  <c r="D20" i="10"/>
  <c r="D18" i="10"/>
  <c r="D15" i="10"/>
  <c r="D17" i="10"/>
  <c r="D25" i="10"/>
  <c r="D12" i="10"/>
  <c r="D19" i="10"/>
  <c r="F663" i="1"/>
  <c r="I659" i="1"/>
  <c r="I663" i="1" s="1"/>
  <c r="I671" i="1" s="1"/>
  <c r="C7" i="10" s="1"/>
  <c r="H655" i="1"/>
  <c r="C41" i="10"/>
  <c r="D38" i="10" s="1"/>
  <c r="D28" i="10" l="1"/>
  <c r="I666" i="1"/>
  <c r="F671" i="1"/>
  <c r="C4" i="10" s="1"/>
  <c r="F666" i="1"/>
  <c r="D37" i="10"/>
  <c r="D36" i="10"/>
  <c r="D35" i="10"/>
  <c r="D40" i="10"/>
  <c r="D39" i="10"/>
  <c r="D41" i="10" l="1"/>
  <c r="B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<sst xmlns="http://schemas.openxmlformats.org/spreadsheetml/2006/main" count="3949" uniqueCount="914">
  <si>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</si>
  <si>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</si>
  <si>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</si>
  <si>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</si>
  <si>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</si>
  <si>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</si>
  <si>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</si>
  <si>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</si>
  <si>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</si>
  <si>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</si>
  <si>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</si>
  <si>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</si>
  <si>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</si>
  <si>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</si>
  <si>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</si>
  <si>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</si>
  <si>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</si>
  <si>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</si>
  <si>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</si>
  <si>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</si>
  <si>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</si>
  <si>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</si>
  <si>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</si>
  <si>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</si>
  <si>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</si>
  <si>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</si>
  <si>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</si>
  <si>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</si>
  <si>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</si>
  <si>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</si>
  <si>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</si>
  <si>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</si>
  <si>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</si>
  <si>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</si>
  <si>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</si>
  <si>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</si>
  <si>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</si>
  <si>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</si>
  <si>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</si>
  <si>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</si>
  <si>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</si>
  <si>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</si>
  <si>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</si>
  <si>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</si>
  <si>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</si>
  <si>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</si>
  <si>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</si>
  <si>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</si>
  <si>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</si>
  <si>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</si>
  <si>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</si>
  <si>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</si>
  <si>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</si>
  <si>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</si>
  <si>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</si>
  <si>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</si>
  <si>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</si>
  <si>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</si>
  <si>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</si>
  <si>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</si>
  <si>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</si>
  <si>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</si>
  <si>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</si>
  <si>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</si>
  <si>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</si>
  <si>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</si>
  <si>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</si>
  <si>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</si>
  <si>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</si>
  <si>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</si>
  <si>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</si>
  <si>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</si>
  <si>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</si>
  <si>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</si>
  <si>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</si>
  <si>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</si>
  <si>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</si>
  <si>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</si>
  <si>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</si>
  <si>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</si>
  <si>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</si>
  <si>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</si>
  <si>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</si>
  <si>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</si>
  <si>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</si>
  <si>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</si>
  <si>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</si>
  <si>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</si>
  <si>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</si>
  <si>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</si>
  <si>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</si>
  <si>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</si>
  <si>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</si>
  <si>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</si>
  <si>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</si>
  <si>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</si>
  <si>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</si>
  <si>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</si>
  <si>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</si>
  <si>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</si>
  <si>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</si>
  <si>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</si>
  <si>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</si>
  <si>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</si>
  <si>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</si>
  <si>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</si>
  <si>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</si>
  <si>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</si>
  <si>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</si>
  <si>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</si>
  <si>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</si>
  <si>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</si>
  <si>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</si>
  <si>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</si>
  <si>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</si>
  <si>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</si>
  <si>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</si>
  <si>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</si>
  <si>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</si>
  <si>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</si>
  <si>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</si>
  <si>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</si>
  <si>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</si>
  <si>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</si>
  <si>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</si>
  <si>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</si>
  <si>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</si>
  <si>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</si>
  <si>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</si>
  <si>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</si>
  <si>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</si>
  <si>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</si>
  <si>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</si>
  <si>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</si>
  <si>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</si>
  <si>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</si>
  <si>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</si>
  <si>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</si>
  <si>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</si>
  <si>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</si>
  <si>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</si>
  <si>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</si>
  <si>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</si>
  <si>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</si>
  <si>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</si>
  <si>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</si>
  <si>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</si>
  <si>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</si>
  <si>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</si>
  <si>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</si>
  <si>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</si>
  <si>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</si>
  <si>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</si>
  <si>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</si>
  <si>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</si>
  <si>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</si>
  <si>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</si>
  <si>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</si>
  <si>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</si>
  <si>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</si>
  <si>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</si>
  <si>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</si>
  <si>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</si>
  <si>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</si>
  <si>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</si>
  <si>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</si>
  <si>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</si>
  <si>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</si>
  <si>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</si>
  <si>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</si>
  <si>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</si>
  <si>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</si>
  <si>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</si>
  <si>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</si>
  <si>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</si>
  <si>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</si>
  <si>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</si>
  <si>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</si>
  <si>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</si>
  <si>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</si>
  <si>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</si>
  <si>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</si>
  <si>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</si>
  <si>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</si>
  <si>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</si>
  <si>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</si>
  <si>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</si>
  <si>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</si>
  <si>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</si>
  <si>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</si>
  <si>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</si>
  <si>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</si>
  <si>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</si>
  <si>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</si>
  <si>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</si>
  <si>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</si>
  <si>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</si>
  <si>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</si>
  <si>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</si>
  <si>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</si>
  <si>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</si>
  <si>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</si>
  <si>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</si>
  <si>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</si>
  <si>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</si>
  <si>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</si>
  <si>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</si>
  <si>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</si>
  <si>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</si>
  <si>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</si>
  <si>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</si>
  <si>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</si>
  <si>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</si>
  <si>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</si>
  <si>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</si>
  <si>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</si>
  <si>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</si>
  <si>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</si>
  <si>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</si>
  <si>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</si>
  <si>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</si>
  <si>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</si>
  <si>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</si>
  <si>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</si>
  <si>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</si>
  <si>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</si>
  <si>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</si>
  <si>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</si>
  <si>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</si>
  <si>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</si>
  <si>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</si>
  <si>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</si>
  <si>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</si>
  <si>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</si>
  <si>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</si>
  <si>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</si>
  <si>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</si>
  <si>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</si>
  <si>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</si>
  <si>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</si>
  <si>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</si>
  <si>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</si>
  <si>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</si>
  <si>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</si>
  <si>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</si>
  <si>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</si>
  <si>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</si>
  <si>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</si>
  <si>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</si>
  <si>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</si>
  <si>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</si>
  <si>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</si>
  <si>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</si>
  <si>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</si>
  <si>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</si>
  <si>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</si>
  <si>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</si>
  <si>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</si>
  <si>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</si>
  <si>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</si>
  <si>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</si>
  <si>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</si>
  <si>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</si>
  <si>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</si>
  <si>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</si>
  <si>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</si>
  <si>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</si>
  <si>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</si>
  <si>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</si>
  <si>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</si>
  <si>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</si>
  <si>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</si>
  <si>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</si>
  <si>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</si>
  <si>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</si>
  <si>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</si>
  <si>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</si>
  <si>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</si>
  <si>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</si>
  <si>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</si>
  <si>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</si>
  <si>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</si>
  <si>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</si>
  <si>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</si>
  <si>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</si>
  <si>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</si>
  <si>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</si>
  <si>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</si>
  <si>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</si>
  <si>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</si>
  <si>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</si>
  <si>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</si>
  <si>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</si>
  <si>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</si>
  <si>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</si>
  <si>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</si>
  <si>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</si>
  <si>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</si>
  <si>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</si>
  <si>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</si>
  <si>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</si>
  <si>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</si>
  <si>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</si>
  <si>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</si>
  <si>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</si>
  <si>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</si>
  <si>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</si>
  <si>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</si>
  <si>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</si>
  <si>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</si>
  <si>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</si>
  <si>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</si>
  <si>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</si>
  <si>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</si>
  <si>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</si>
  <si>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</si>
  <si>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</si>
  <si>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</si>
  <si>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</si>
  <si>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</si>
  <si>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</si>
  <si>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</si>
  <si>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</si>
  <si>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</si>
  <si>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</si>
  <si>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</si>
  <si>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</si>
  <si>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</si>
  <si>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</si>
  <si>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</si>
  <si>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</si>
  <si>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</si>
  <si>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</si>
  <si>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</si>
  <si>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</si>
  <si>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</si>
  <si>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</si>
  <si>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</si>
  <si>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</si>
  <si>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</si>
  <si>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</si>
  <si>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</si>
  <si>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</si>
  <si>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</si>
  <si>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</si>
  <si>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</si>
  <si>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</si>
  <si>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</si>
  <si>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</si>
  <si>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</si>
  <si>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</si>
  <si>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</si>
  <si>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</si>
  <si>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</si>
  <si>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</si>
  <si>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</si>
  <si>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</si>
  <si>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</si>
  <si>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</si>
  <si>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</si>
  <si>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</si>
  <si>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</si>
  <si>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</si>
  <si>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</si>
  <si>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</si>
  <si>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</si>
  <si>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</si>
  <si>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</si>
  <si>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</si>
  <si>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</si>
  <si>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</si>
  <si>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</si>
  <si>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</si>
  <si>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</si>
  <si>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</si>
  <si>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</si>
  <si>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</si>
  <si>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</si>
  <si>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</si>
  <si>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</si>
  <si>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</si>
  <si>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</si>
  <si>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</si>
  <si>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</si>
  <si>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</si>
  <si>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</si>
  <si>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</si>
  <si>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</si>
  <si>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</si>
  <si>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</si>
  <si>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</si>
  <si>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</si>
  <si>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</si>
  <si>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</si>
  <si>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</si>
  <si>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</si>
  <si>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</si>
  <si>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</si>
  <si>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</si>
  <si>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</si>
  <si>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</si>
  <si>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</si>
  <si>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</si>
  <si>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</si>
  <si>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</si>
  <si>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</si>
  <si>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</si>
  <si>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</si>
  <si>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</si>
  <si>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</si>
  <si>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</si>
  <si>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</si>
  <si>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</si>
  <si>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</si>
  <si>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</si>
  <si>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</si>
  <si>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</si>
  <si>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</si>
  <si>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</si>
  <si>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</si>
  <si>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</si>
  <si>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</si>
  <si>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</si>
  <si>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</si>
  <si>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</si>
  <si>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</si>
  <si>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</si>
  <si>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</si>
  <si>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</si>
  <si>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</si>
  <si>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</si>
  <si>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</si>
  <si>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</si>
  <si>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</si>
  <si>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</si>
  <si>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</si>
  <si>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</si>
  <si>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</si>
  <si>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</si>
  <si>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</si>
  <si>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</si>
  <si>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</si>
  <si>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</si>
  <si>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</si>
  <si>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</si>
  <si>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</si>
  <si>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</si>
  <si>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</si>
  <si>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</si>
  <si>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</si>
  <si>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</si>
  <si>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</si>
  <si>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</si>
  <si>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</si>
  <si>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</si>
  <si>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</si>
  <si>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</si>
  <si>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</si>
  <si>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</si>
  <si>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</si>
  <si>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</si>
  <si>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</si>
  <si>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</si>
  <si>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</si>
  <si>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</si>
  <si>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</si>
  <si>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</si>
  <si>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</si>
  <si>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</si>
  <si>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</si>
  <si>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</si>
  <si>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</si>
  <si>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</si>
  <si>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</si>
  <si>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</si>
  <si>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</si>
  <si>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</si>
  <si>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</si>
  <si>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</si>
  <si>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</si>
  <si>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</si>
  <si>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</si>
  <si>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</si>
  <si>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</si>
  <si>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</si>
  <si>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</si>
  <si>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</si>
  <si>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</si>
  <si>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</si>
  <si>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</si>
  <si>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</si>
  <si>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</si>
  <si>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</si>
  <si>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</si>
  <si>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</si>
  <si>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</si>
  <si>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</si>
  <si>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</si>
  <si>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</si>
  <si>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</si>
  <si>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</si>
  <si>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</si>
  <si>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</si>
  <si>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</si>
  <si>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</si>
  <si>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</si>
  <si>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</si>
  <si>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</si>
  <si>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</si>
  <si>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</si>
  <si>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</si>
  <si>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</si>
  <si>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</si>
  <si>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</si>
  <si>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</si>
  <si>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</si>
  <si>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</si>
  <si>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</si>
  <si>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</si>
  <si>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</si>
  <si>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</si>
  <si>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</si>
  <si>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</si>
  <si>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</si>
  <si>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</si>
  <si>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</si>
  <si>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</si>
  <si>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</si>
  <si>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</si>
  <si>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</si>
  <si>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</si>
  <si>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</si>
  <si>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</si>
  <si>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</si>
  <si>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</si>
  <si>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</si>
  <si>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</si>
  <si>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</si>
  <si>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</si>
  <si>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</si>
  <si>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</si>
  <si>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</si>
  <si>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</si>
  <si>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</si>
  <si>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</si>
  <si>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</si>
  <si>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</si>
  <si>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</si>
  <si>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</si>
  <si>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</si>
  <si>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</si>
  <si>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</si>
  <si>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</si>
  <si>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</si>
  <si>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</si>
  <si>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</si>
  <si>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</si>
  <si>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</si>
  <si>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</si>
  <si>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</si>
  <si>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</si>
  <si>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</si>
  <si>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</si>
  <si>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</si>
  <si>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</si>
  <si>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</si>
  <si>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</si>
  <si>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</si>
  <si>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</si>
  <si>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</si>
  <si>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</si>
  <si>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</si>
  <si>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</si>
  <si>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</si>
  <si>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</si>
  <si>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</si>
  <si>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</si>
  <si>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</si>
  <si>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</si>
  <si>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</si>
  <si>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</si>
  <si>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</si>
  <si>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</si>
  <si>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</si>
  <si>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</si>
  <si>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</si>
  <si>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</si>
  <si>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</si>
  <si>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</si>
  <si>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</si>
  <si>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</si>
  <si>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</si>
  <si>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</si>
  <si>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</si>
  <si>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</si>
  <si>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</si>
  <si>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</si>
  <si>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</si>
  <si>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</si>
  <si>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</si>
  <si>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</si>
  <si>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</si>
  <si>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</si>
  <si>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</si>
  <si>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</si>
  <si>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</si>
  <si>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</si>
  <si>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</si>
  <si>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</si>
  <si>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</si>
  <si>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</si>
  <si>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</si>
  <si>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</si>
  <si>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</si>
  <si>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</si>
  <si>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</si>
  <si>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</si>
  <si>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</si>
  <si>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</si>
  <si>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</si>
  <si>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</si>
  <si>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</si>
  <si>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</si>
  <si>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</si>
  <si>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</si>
  <si>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</si>
  <si>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</si>
  <si>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</si>
  <si>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</si>
  <si>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</si>
  <si>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</si>
  <si>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</si>
  <si>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</si>
  <si>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</si>
  <si>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</si>
  <si>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</si>
  <si>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</si>
  <si>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</si>
  <si>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</si>
  <si>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</si>
  <si>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</si>
  <si>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</si>
  <si>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</si>
  <si>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</si>
  <si>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</si>
  <si>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</si>
  <si>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</si>
  <si>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</si>
  <si>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</si>
  <si>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</si>
  <si>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</si>
  <si>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</si>
  <si>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</si>
  <si>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</si>
  <si>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</si>
  <si>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</si>
  <si>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</si>
  <si>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</si>
  <si>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</si>
  <si>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</si>
  <si>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</si>
  <si>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</si>
  <si>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</si>
  <si>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</si>
  <si>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</si>
  <si>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</si>
  <si>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</si>
  <si>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</si>
  <si>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</si>
  <si>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</si>
  <si>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</si>
  <si>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</si>
  <si>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</si>
  <si>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</si>
  <si>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</si>
  <si>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</si>
  <si>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</si>
  <si>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</si>
  <si>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</si>
  <si>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</si>
  <si>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</si>
  <si>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</si>
  <si>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</si>
  <si>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</si>
  <si>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</si>
  <si>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</si>
  <si>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</si>
  <si>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</si>
  <si>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</si>
  <si>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</si>
  <si>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</si>
  <si>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</si>
  <si>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</si>
  <si>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</si>
  <si>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</si>
  <si>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</si>
  <si>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</si>
  <si>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</si>
  <si>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</si>
  <si>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</si>
  <si>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</si>
  <si>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</si>
  <si>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</si>
  <si>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</si>
  <si>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</si>
  <si>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</si>
  <si>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</si>
  <si>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</si>
  <si>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</si>
  <si>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</si>
  <si>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</si>
  <si>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</si>
  <si>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</si>
  <si>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</si>
  <si>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</si>
  <si>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</si>
  <si>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</si>
  <si>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</si>
  <si>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</si>
  <si>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</si>
  <si>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</si>
  <si>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</si>
  <si>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</si>
  <si>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</si>
  <si>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</si>
  <si>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</si>
  <si>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</si>
  <si>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</si>
  <si>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</si>
  <si>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</si>
  <si>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</si>
  <si>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</si>
  <si>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</si>
  <si>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</si>
  <si>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</si>
  <si>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</si>
  <si>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</si>
  <si>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</si>
  <si>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</si>
  <si>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</si>
  <si>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</si>
  <si>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</si>
  <si>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</si>
  <si>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</si>
  <si>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</si>
  <si>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</si>
  <si>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</si>
  <si>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</si>
  <si>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</si>
  <si>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</si>
  <si>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</si>
  <si>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</si>
  <si>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</si>
  <si>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</si>
  <si>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</si>
  <si>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</si>
  <si>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</si>
  <si>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</si>
  <si>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</si>
  <si>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</si>
  <si>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</si>
  <si>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</si>
  <si>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</si>
  <si>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</si>
  <si>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</si>
  <si>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</si>
  <si>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</si>
  <si>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</si>
  <si>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</si>
  <si>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</si>
  <si>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</si>
  <si>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</si>
  <si>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</si>
  <si>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</si>
  <si>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</si>
  <si>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</si>
  <si>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</si>
  <si>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</si>
  <si>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</si>
  <si>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</si>
  <si>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</si>
  <si>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</si>
  <si>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</si>
  <si>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</si>
  <si>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</si>
  <si>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</si>
  <si>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</si>
  <si>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</si>
  <si>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</si>
  <si>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</si>
  <si>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</si>
  <si>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</si>
  <si>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</si>
  <si>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</si>
  <si>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</si>
  <si>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</si>
  <si>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</si>
  <si>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</si>
  <si>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</si>
  <si>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</si>
  <si>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</si>
  <si>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</si>
  <si>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</si>
  <si>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</si>
  <si>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</si>
  <si>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</si>
  <si>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</si>
  <si>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</si>
  <si>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</si>
  <si>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</si>
  <si>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</si>
  <si>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</si>
  <si>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</si>
  <si>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</si>
  <si>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</si>
  <si>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</si>
  <si>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</si>
  <si>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</si>
  <si>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</si>
  <si>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</si>
  <si>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</si>
  <si>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</si>
  <si>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</si>
  <si>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</si>
  <si>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</si>
  <si>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</si>
  <si>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</si>
  <si>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</si>
  <si>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</si>
  <si>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</si>
  <si>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</si>
  <si>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</si>
  <si>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</si>
  <si>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</si>
  <si>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</si>
  <si>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</si>
  <si>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</si>
  <si>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</si>
  <si>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</si>
  <si>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</si>
  <si>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</si>
  <si>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</si>
  <si>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</si>
  <si>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</si>
  <si>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</si>
  <si>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</si>
  <si>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</si>
  <si>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</si>
  <si>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</si>
  <si>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</si>
  <si>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</si>
  <si>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</si>
  <si>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</si>
  <si>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</si>
  <si>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</si>
  <si>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</si>
  <si>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</si>
  <si>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</si>
  <si>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</si>
  <si>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</si>
  <si>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</si>
  <si>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</si>
  <si>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</si>
  <si>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</si>
  <si>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</si>
  <si>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</si>
  <si>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</si>
  <si>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</si>
  <si>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</si>
  <si>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</si>
  <si>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</si>
  <si>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</si>
  <si>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</si>
  <si>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</si>
  <si>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</si>
  <si>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</si>
  <si>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</si>
  <si>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</si>
  <si>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</si>
  <si>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</si>
  <si>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</si>
  <si>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</si>
  <si>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</si>
  <si>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</si>
  <si>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</si>
  <si>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</si>
  <si>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</si>
  <si>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</si>
  <si>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</si>
  <si>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</si>
  <si>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</si>
  <si>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</si>
  <si>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</si>
  <si>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</si>
  <si>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</si>
  <si>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</si>
  <si>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</si>
  <si>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</si>
  <si>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</si>
  <si>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</si>
  <si>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</si>
  <si>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</si>
  <si>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</si>
  <si>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</si>
  <si>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</si>
  <si>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</si>
  <si>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</si>
  <si>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</si>
  <si>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</si>
  <si>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08/05</t>
  </si>
  <si>
    <t>08/24</t>
  </si>
  <si>
    <t>09/10</t>
  </si>
  <si>
    <t>09/15</t>
  </si>
  <si>
    <t>FALL MOUNTAIN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</si>
</sst>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s://mail.sau60.org/DOE-25/FY2011-2012/Final/TOT08.xlsx" TargetMode="External"/><Relationship Id="rId13" Type="http://schemas.openxmlformats.org/officeDocument/2006/relationships/externalLinkPath" Target="https://mail.sau60.org/DOE-25/FY2011-2012/Final/TOT13.xlsx" TargetMode="External"/><Relationship Id="rId18" Type="http://schemas.openxmlformats.org/officeDocument/2006/relationships/externalLinkPath" Target="https://mail.sau60.org/DOE-25/FY2011-2012/Final/TOT18.xlsx" TargetMode="External"/><Relationship Id="rId3" Type="http://schemas.openxmlformats.org/officeDocument/2006/relationships/externalLinkPath" Target="https://mail.sau60.org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s://mail.sau60.org/DOE-25/FY2011-2012/Final/TOT07.xlsx" TargetMode="External"/><Relationship Id="rId12" Type="http://schemas.openxmlformats.org/officeDocument/2006/relationships/externalLinkPath" Target="https://mail.sau60.org/DOE-25/FY2011-2012/Final/TOT12.xlsx" TargetMode="External"/><Relationship Id="rId17" Type="http://schemas.openxmlformats.org/officeDocument/2006/relationships/externalLinkPath" Target="https://mail.sau60.org/DOE-25/FY2011-2012/Final/TOT17.xlsx" TargetMode="External"/><Relationship Id="rId2" Type="http://schemas.openxmlformats.org/officeDocument/2006/relationships/externalLinkPath" Target="https://mail.sau60.org/DOE-25/FY2011-2012/Final/TOT02.xlsx" TargetMode="External"/><Relationship Id="rId16" Type="http://schemas.openxmlformats.org/officeDocument/2006/relationships/externalLinkPath" Target="https://mail.sau60.org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s://mail.sau60.org/DOE-25/FY2011-2012/Final/TOT01.xlsx" TargetMode="External"/><Relationship Id="rId6" Type="http://schemas.openxmlformats.org/officeDocument/2006/relationships/externalLinkPath" Target="https://mail.sau60.org/DOE-25/FY2011-2012/Final/TOT06.xlsx" TargetMode="External"/><Relationship Id="rId11" Type="http://schemas.openxmlformats.org/officeDocument/2006/relationships/externalLinkPath" Target="https://mail.sau60.org/DOE-25/FY2011-2012/Final/TOT11.xlsx" TargetMode="External"/><Relationship Id="rId5" Type="http://schemas.openxmlformats.org/officeDocument/2006/relationships/externalLinkPath" Target="https://mail.sau60.org/DOE-25/FY2011-2012/Final/TOT05.xlsx" TargetMode="External"/><Relationship Id="rId15" Type="http://schemas.openxmlformats.org/officeDocument/2006/relationships/externalLinkPath" Target="https://mail.sau60.org/DOE-25/FY2011-2012/Final/TOT15.xlsx" TargetMode="External"/><Relationship Id="rId10" Type="http://schemas.openxmlformats.org/officeDocument/2006/relationships/externalLinkPath" Target="https://mail.sau60.org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s://mail.sau60.org/DOE-25/FY2011-2012/Final/TOT04.xlsx" TargetMode="External"/><Relationship Id="rId9" Type="http://schemas.openxmlformats.org/officeDocument/2006/relationships/externalLinkPath" Target="https://mail.sau60.org/DOE-25/FY2011-2012/Final/TOT09.xlsx" TargetMode="External"/><Relationship Id="rId14" Type="http://schemas.openxmlformats.org/officeDocument/2006/relationships/externalLinkPath" Target="https://mail.sau60.org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zoomScaleSheetLayoutView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1750+2894903.79</f>
        <v>2896653.79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2455547.94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283383.31</v>
      </c>
      <c r="G12" s="18">
        <v>-61639.16</v>
      </c>
      <c r="H12" s="18">
        <f>-216705.76-5038.02-0.37</f>
        <v>-221744.15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42008.74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8359.17</v>
      </c>
      <c r="G14" s="18">
        <v>62139.26</v>
      </c>
      <c r="H14" s="18">
        <f>277525.94+5038.02</f>
        <v>282563.96000000002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299554.65000000002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3529959.66</v>
      </c>
      <c r="G19" s="41">
        <f>SUM(G9:G18)</f>
        <v>500.09999999999854</v>
      </c>
      <c r="H19" s="41">
        <f>SUM(H9:H18)</f>
        <v>60819.810000000027</v>
      </c>
      <c r="I19" s="41">
        <f>SUM(I9:I18)</f>
        <v>0</v>
      </c>
      <c r="J19" s="41">
        <f>SUM(J9:J18)</f>
        <v>2455547.94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785181.84</v>
      </c>
      <c r="G24" s="18">
        <v>500.1</v>
      </c>
      <c r="H24" s="18">
        <v>10176.780000000001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 t="s">
        <v>287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1781678.76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5497.03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2572357.63</v>
      </c>
      <c r="G32" s="41">
        <f>SUM(G22:G31)</f>
        <v>500.1</v>
      </c>
      <c r="H32" s="41">
        <f>SUM(H22:H31)</f>
        <v>10176.780000000001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38755.6+10052.5</f>
        <v>48808.1</v>
      </c>
      <c r="I47" s="18"/>
      <c r="J47" s="13">
        <f>SUM(I458)</f>
        <v>2455547.94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>
        <v>1834.93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457602.03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957602.03</v>
      </c>
      <c r="G50" s="41">
        <f>SUM(G35:G49)</f>
        <v>0</v>
      </c>
      <c r="H50" s="41">
        <f>SUM(H35:H49)</f>
        <v>50643.03</v>
      </c>
      <c r="I50" s="41">
        <f>SUM(I35:I49)</f>
        <v>0</v>
      </c>
      <c r="J50" s="41">
        <f>SUM(J35:J49)</f>
        <v>2455547.94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3529959.66</v>
      </c>
      <c r="G51" s="41">
        <f>G50+G32</f>
        <v>500.1</v>
      </c>
      <c r="H51" s="41">
        <f>H50+H32</f>
        <v>60819.81</v>
      </c>
      <c r="I51" s="41">
        <f>I50+I32</f>
        <v>0</v>
      </c>
      <c r="J51" s="41">
        <f>J50+J32</f>
        <v>2455547.94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15189681.85-245141-371203-666913-143947-939639</f>
        <v>12822838.85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12822838.85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15480.71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201174.44-15480.71</f>
        <v>185693.73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6608.16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207782.6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21473.37</v>
      </c>
      <c r="G95" s="18"/>
      <c r="H95" s="18"/>
      <c r="I95" s="18"/>
      <c r="J95" s="18">
        <f>13469.54+32931.7</f>
        <v>46401.24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275985.75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27763.48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2452</v>
      </c>
      <c r="G109" s="18"/>
      <c r="H109" s="18">
        <v>27674.73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23925.37</v>
      </c>
      <c r="G110" s="41">
        <f>SUM(G95:G109)</f>
        <v>275985.75</v>
      </c>
      <c r="H110" s="41">
        <f>SUM(H95:H109)</f>
        <v>55438.21</v>
      </c>
      <c r="I110" s="41">
        <f>SUM(I95:I109)</f>
        <v>0</v>
      </c>
      <c r="J110" s="41">
        <f>SUM(J95:J109)</f>
        <v>46401.24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13054546.819999998</v>
      </c>
      <c r="G111" s="41">
        <f>G59+G110</f>
        <v>275985.75</v>
      </c>
      <c r="H111" s="41">
        <f>H59+H78+H93+H110</f>
        <v>55438.21</v>
      </c>
      <c r="I111" s="41">
        <f>I59+I110</f>
        <v>0</v>
      </c>
      <c r="J111" s="41">
        <f>J59+J110</f>
        <v>46401.24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8748755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245141+371203+666913+143947+939639</f>
        <v>2366843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11115598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560387.86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320822.90999999997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200313.39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18656.34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7440.31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1100180.5000000002</v>
      </c>
      <c r="G135" s="41">
        <f>SUM(G122:G134)</f>
        <v>7440.31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12215778.5</v>
      </c>
      <c r="G139" s="41">
        <f>G120+SUM(G135:G136)</f>
        <v>7440.31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871882.93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148927.57999999999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49429.3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323028.94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445348.37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216641.8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216641.8</v>
      </c>
      <c r="G161" s="41">
        <f>SUM(G149:G160)</f>
        <v>323028.94</v>
      </c>
      <c r="H161" s="41">
        <f>SUM(H149:H160)</f>
        <v>1515588.1800000002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216641.8</v>
      </c>
      <c r="G168" s="41">
        <f>G146+G161+SUM(G162:G167)</f>
        <v>323028.94</v>
      </c>
      <c r="H168" s="41">
        <f>H146+H161+SUM(H162:H167)</f>
        <v>1515588.1800000002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150234.37</v>
      </c>
      <c r="H178" s="18"/>
      <c r="I178" s="18"/>
      <c r="J178" s="18">
        <f>481507.91+148865</f>
        <v>630372.90999999992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150234.37</v>
      </c>
      <c r="H182" s="41">
        <f>SUM(H178:H181)</f>
        <v>0</v>
      </c>
      <c r="I182" s="41">
        <f>SUM(I178:I181)</f>
        <v>0</v>
      </c>
      <c r="J182" s="41">
        <f>SUM(J178:J181)</f>
        <v>630372.90999999992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385000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385000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385000</v>
      </c>
      <c r="G191" s="41">
        <f>G182+SUM(G187:G190)</f>
        <v>150234.37</v>
      </c>
      <c r="H191" s="41">
        <f>+H182+SUM(H187:H190)</f>
        <v>0</v>
      </c>
      <c r="I191" s="41">
        <f>I176+I182+SUM(I187:I190)</f>
        <v>0</v>
      </c>
      <c r="J191" s="41">
        <f>J182</f>
        <v>630372.90999999992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25871967.120000001</v>
      </c>
      <c r="G192" s="47">
        <f>G111+G139+G168+G191</f>
        <v>756689.37</v>
      </c>
      <c r="H192" s="47">
        <f>H111+H139+H168+H191</f>
        <v>1571026.3900000001</v>
      </c>
      <c r="I192" s="47">
        <f>I111+I139+I168+I191</f>
        <v>0</v>
      </c>
      <c r="J192" s="47">
        <f>J111+J139+J191</f>
        <v>676774.14999999991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4395344.47+2964-260.7</f>
        <v>4398047.7699999996</v>
      </c>
      <c r="G196" s="18">
        <f>1595568.24+383.51</f>
        <v>1595951.75</v>
      </c>
      <c r="H196" s="18">
        <f>34070.69+11756.79</f>
        <v>45827.48</v>
      </c>
      <c r="I196" s="18">
        <f>178611.64+2453.18</f>
        <v>181064.82</v>
      </c>
      <c r="J196" s="18">
        <f>146788.9+928.82</f>
        <v>147717.72</v>
      </c>
      <c r="K196" s="18">
        <v>3739.79</v>
      </c>
      <c r="L196" s="19">
        <f>SUM(F196:K196)</f>
        <v>6372349.3300000001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1593458.21+9282+661416.24</f>
        <v>2264156.4500000002</v>
      </c>
      <c r="G197" s="18">
        <f>379272.23+786.71+208520.85</f>
        <v>588579.79</v>
      </c>
      <c r="H197" s="18">
        <f>1452.64+653221.89</f>
        <v>654674.53</v>
      </c>
      <c r="I197" s="18">
        <f>5085.02+9390.82</f>
        <v>14475.84</v>
      </c>
      <c r="J197" s="18">
        <f>6369.5+4756.33</f>
        <v>11125.83</v>
      </c>
      <c r="K197" s="18">
        <f>23.43+565.53</f>
        <v>588.95999999999992</v>
      </c>
      <c r="L197" s="19">
        <f>SUM(F197:K197)</f>
        <v>3533601.4000000004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67609</v>
      </c>
      <c r="G199" s="18">
        <v>8926.74</v>
      </c>
      <c r="H199" s="18">
        <v>10007.299999999999</v>
      </c>
      <c r="I199" s="18">
        <v>6961.51</v>
      </c>
      <c r="J199" s="18">
        <v>15830.78</v>
      </c>
      <c r="K199" s="18">
        <v>100</v>
      </c>
      <c r="L199" s="19">
        <f>SUM(F199:K199)</f>
        <v>109435.33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303612.76+173921.56</f>
        <v>477534.32</v>
      </c>
      <c r="G201" s="18">
        <f>104359.07+63399.95</f>
        <v>167759.02000000002</v>
      </c>
      <c r="H201" s="18">
        <f>2762.62+1159.75+3464.5</f>
        <v>7386.87</v>
      </c>
      <c r="I201" s="18">
        <f>2637.75+2809.37</f>
        <v>5447.12</v>
      </c>
      <c r="J201" s="18">
        <f>2507.07+545.47</f>
        <v>3052.54</v>
      </c>
      <c r="K201" s="18"/>
      <c r="L201" s="19">
        <f t="shared" ref="L201:L207" si="0">SUM(F201:K201)</f>
        <v>661179.87000000011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59614.13+125569.38+13627.48+168023.32</f>
        <v>366834.31000000006</v>
      </c>
      <c r="G202" s="18">
        <f>9120.68+39400.94+47878.69+50340.13</f>
        <v>146740.44</v>
      </c>
      <c r="H202" s="18">
        <f>832.53+1573.28+23314.64+17174.21</f>
        <v>42894.66</v>
      </c>
      <c r="I202" s="18">
        <f>100+30758.63+1200.64+13696.66</f>
        <v>45755.93</v>
      </c>
      <c r="J202" s="18">
        <f>904.77+3.9</f>
        <v>908.67</v>
      </c>
      <c r="K202" s="18">
        <f>4087.13+2307.5</f>
        <v>6394.63</v>
      </c>
      <c r="L202" s="19">
        <f t="shared" si="0"/>
        <v>609528.64000000013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5000+5821.24+194252.15</f>
        <v>205073.38999999998</v>
      </c>
      <c r="G203" s="18">
        <f>451.95+24442.43+54906.61</f>
        <v>79800.990000000005</v>
      </c>
      <c r="H203" s="18">
        <f>2617.07+36760.98+12425.46</f>
        <v>51803.51</v>
      </c>
      <c r="I203" s="18">
        <f>1196.34+7054.89</f>
        <v>8251.23</v>
      </c>
      <c r="J203" s="18">
        <f>1901.9+2754.52</f>
        <v>4656.42</v>
      </c>
      <c r="K203" s="18">
        <f>3563.81+2795.65</f>
        <v>6359.46</v>
      </c>
      <c r="L203" s="19">
        <f t="shared" si="0"/>
        <v>355945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683520.57</v>
      </c>
      <c r="G204" s="18">
        <v>218168.34</v>
      </c>
      <c r="H204" s="18">
        <v>11926.85</v>
      </c>
      <c r="I204" s="18">
        <v>6853.22</v>
      </c>
      <c r="J204" s="18">
        <v>8896.9599999999991</v>
      </c>
      <c r="K204" s="18">
        <v>3028</v>
      </c>
      <c r="L204" s="19">
        <f t="shared" si="0"/>
        <v>932393.93999999983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122622.14</v>
      </c>
      <c r="G205" s="18">
        <v>44141.36</v>
      </c>
      <c r="H205" s="18">
        <v>16000.89</v>
      </c>
      <c r="I205" s="18">
        <v>1533.92</v>
      </c>
      <c r="J205" s="18">
        <v>2132.23</v>
      </c>
      <c r="K205" s="18">
        <v>1083</v>
      </c>
      <c r="L205" s="19">
        <f t="shared" si="0"/>
        <v>187513.54000000004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402495.77+249432.24</f>
        <v>651928.01</v>
      </c>
      <c r="G206" s="18">
        <f>161447.19+84198.96</f>
        <v>245646.15000000002</v>
      </c>
      <c r="H206" s="18">
        <f>153323.81+114677.55</f>
        <v>268001.36</v>
      </c>
      <c r="I206" s="18">
        <f>338380.33+69756.76</f>
        <v>408137.09</v>
      </c>
      <c r="J206" s="18">
        <f>5961.3+6588.52</f>
        <v>12549.82</v>
      </c>
      <c r="K206" s="18"/>
      <c r="L206" s="19">
        <f t="shared" si="0"/>
        <v>1586262.4300000002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187443.17+56840.65+69751.12</f>
        <v>314034.94</v>
      </c>
      <c r="G207" s="18">
        <f>35593.14+10573.94+15022.18</f>
        <v>61189.26</v>
      </c>
      <c r="H207" s="18">
        <f>198600.45+773.5+11835.74</f>
        <v>211209.69</v>
      </c>
      <c r="I207" s="18">
        <f>107396.08+10086.62+1302.94</f>
        <v>118785.64</v>
      </c>
      <c r="J207" s="18">
        <v>5430.75</v>
      </c>
      <c r="K207" s="18">
        <v>288.36</v>
      </c>
      <c r="L207" s="19">
        <f t="shared" si="0"/>
        <v>710938.64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9551360.8999999985</v>
      </c>
      <c r="G210" s="41">
        <f t="shared" si="1"/>
        <v>3156903.84</v>
      </c>
      <c r="H210" s="41">
        <f t="shared" si="1"/>
        <v>1319733.1400000001</v>
      </c>
      <c r="I210" s="41">
        <f t="shared" si="1"/>
        <v>797266.32</v>
      </c>
      <c r="J210" s="41">
        <f t="shared" si="1"/>
        <v>212301.72000000003</v>
      </c>
      <c r="K210" s="41">
        <f t="shared" si="1"/>
        <v>21582.2</v>
      </c>
      <c r="L210" s="41">
        <f t="shared" si="1"/>
        <v>15059148.120000001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1825677.65+1596</f>
        <v>1827273.65</v>
      </c>
      <c r="G232" s="18">
        <f>689318.63+206.5</f>
        <v>689525.13</v>
      </c>
      <c r="H232" s="18">
        <f>21774.35+6330.58</f>
        <v>28104.93</v>
      </c>
      <c r="I232" s="18">
        <f>85201.4+1320.95</f>
        <v>86522.349999999991</v>
      </c>
      <c r="J232" s="18">
        <f>64682.95+500.14</f>
        <v>65183.09</v>
      </c>
      <c r="K232" s="18">
        <f>6869.21</f>
        <v>6869.21</v>
      </c>
      <c r="L232" s="19">
        <f>SUM(F232:K232)</f>
        <v>2703478.36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602227.19+356147.2</f>
        <v>958374.3899999999</v>
      </c>
      <c r="G233" s="18">
        <f>187776.57+112280.46</f>
        <v>300057.03000000003</v>
      </c>
      <c r="H233" s="18">
        <f>749.34+351734.86</f>
        <v>352484.2</v>
      </c>
      <c r="I233" s="18">
        <f>7605.65+5056.6</f>
        <v>12662.25</v>
      </c>
      <c r="J233" s="18">
        <f>5793.58+2561.1</f>
        <v>8354.68</v>
      </c>
      <c r="K233" s="18">
        <f>3601.93+304.52</f>
        <v>3906.45</v>
      </c>
      <c r="L233" s="19">
        <f>SUM(F233:K233)</f>
        <v>1635838.9999999998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390197.2</f>
        <v>390197.2</v>
      </c>
      <c r="G234" s="18">
        <f>122738.79</f>
        <v>122738.79</v>
      </c>
      <c r="H234" s="18">
        <f>328588.93</f>
        <v>328588.93</v>
      </c>
      <c r="I234" s="18">
        <f>48228.96</f>
        <v>48228.959999999999</v>
      </c>
      <c r="J234" s="18">
        <f>11583.63</f>
        <v>11583.63</v>
      </c>
      <c r="K234" s="18">
        <f>375.01</f>
        <v>375.01</v>
      </c>
      <c r="L234" s="19">
        <f>SUM(F234:K234)</f>
        <v>901712.5199999999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165503.67</f>
        <v>165503.67000000001</v>
      </c>
      <c r="G235" s="18">
        <f>32826.31</f>
        <v>32826.31</v>
      </c>
      <c r="H235" s="18">
        <f>59728.68</f>
        <v>59728.68</v>
      </c>
      <c r="I235" s="18">
        <f>6005.63</f>
        <v>6005.63</v>
      </c>
      <c r="J235" s="18">
        <f>26106.3</f>
        <v>26106.3</v>
      </c>
      <c r="K235" s="18">
        <f>2965</f>
        <v>2965</v>
      </c>
      <c r="L235" s="19">
        <f>SUM(F235:K235)</f>
        <v>293135.58999999997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359197.71</f>
        <v>359197.71</v>
      </c>
      <c r="G237" s="18">
        <f>121190.99</f>
        <v>121190.99</v>
      </c>
      <c r="H237" s="18">
        <f>11891.6+1865.5</f>
        <v>13757.1</v>
      </c>
      <c r="I237" s="18">
        <f>3889.66</f>
        <v>3889.66</v>
      </c>
      <c r="J237" s="18">
        <f>878.65</f>
        <v>878.65</v>
      </c>
      <c r="K237" s="18">
        <f>575</f>
        <v>575</v>
      </c>
      <c r="L237" s="19">
        <f t="shared" ref="L237:L243" si="4">SUM(F237:K237)</f>
        <v>499489.11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95966.37+7337.88+90474.09</f>
        <v>193778.34</v>
      </c>
      <c r="G238" s="18">
        <f>24599.17+25780.83+27106.23</f>
        <v>77486.23</v>
      </c>
      <c r="H238" s="18">
        <f>274.67+12554.03+9247.65</f>
        <v>22076.35</v>
      </c>
      <c r="I238" s="18">
        <f>19033.06+646.5+7375.12</f>
        <v>27054.68</v>
      </c>
      <c r="J238" s="18">
        <f>2961.95+2.1</f>
        <v>2964.0499999999997</v>
      </c>
      <c r="K238" s="18">
        <f>2200.76+1242.5</f>
        <v>3443.26</v>
      </c>
      <c r="L238" s="19">
        <f t="shared" si="4"/>
        <v>326802.90999999997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3134.51+104597.31</f>
        <v>107731.81999999999</v>
      </c>
      <c r="G239" s="18">
        <f>13161.31+29565.1</f>
        <v>42726.409999999996</v>
      </c>
      <c r="H239" s="18">
        <f>19794.38+6690.63</f>
        <v>26485.010000000002</v>
      </c>
      <c r="I239" s="18">
        <f>644.19+3798.79</f>
        <v>4442.9799999999996</v>
      </c>
      <c r="J239" s="18">
        <f>1024.1+1483.21</f>
        <v>2507.31</v>
      </c>
      <c r="K239" s="18">
        <f>1505.35+1918.97</f>
        <v>3424.3199999999997</v>
      </c>
      <c r="L239" s="19">
        <f t="shared" si="4"/>
        <v>187317.85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262267.36</f>
        <v>262267.36</v>
      </c>
      <c r="G240" s="18">
        <f>91019.65</f>
        <v>91019.65</v>
      </c>
      <c r="H240" s="18">
        <f>30045.09</f>
        <v>30045.09</v>
      </c>
      <c r="I240" s="18">
        <f>1500</f>
        <v>1500</v>
      </c>
      <c r="J240" s="18">
        <f>1439.06</f>
        <v>1439.06</v>
      </c>
      <c r="K240" s="18">
        <f>4559</f>
        <v>4559</v>
      </c>
      <c r="L240" s="19">
        <f t="shared" si="4"/>
        <v>390830.16000000003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66027.3</v>
      </c>
      <c r="G241" s="18">
        <v>23768.43</v>
      </c>
      <c r="H241" s="18">
        <v>8615.8700000000008</v>
      </c>
      <c r="I241" s="18">
        <v>825.95</v>
      </c>
      <c r="J241" s="18">
        <v>1148.1199999999999</v>
      </c>
      <c r="K241" s="18">
        <v>583.15</v>
      </c>
      <c r="L241" s="19">
        <f t="shared" si="4"/>
        <v>100968.81999999999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187285.24+134309.67</f>
        <v>321594.91000000003</v>
      </c>
      <c r="G242" s="18">
        <f>83688.75+45337.9</f>
        <v>129026.65</v>
      </c>
      <c r="H242" s="18">
        <f>179865.07+61749.45</f>
        <v>241614.52000000002</v>
      </c>
      <c r="I242" s="18">
        <f>175953.87+37566.18</f>
        <v>213520.05</v>
      </c>
      <c r="J242" s="18">
        <f>919.74+3547.66</f>
        <v>4467.3999999999996</v>
      </c>
      <c r="K242" s="18"/>
      <c r="L242" s="19">
        <f t="shared" si="4"/>
        <v>910223.53000000014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162943.77+30606.5+37558.29</f>
        <v>231108.56</v>
      </c>
      <c r="G243" s="18">
        <f>24959.31+5693.66+8088.86</f>
        <v>38741.83</v>
      </c>
      <c r="H243" s="18">
        <f>133919.84+416.5+6373.09</f>
        <v>140709.43</v>
      </c>
      <c r="I243" s="18">
        <f>71597.6+5431.26+701.59</f>
        <v>77730.45</v>
      </c>
      <c r="J243" s="18">
        <v>2924.25</v>
      </c>
      <c r="K243" s="18">
        <v>155.27000000000001</v>
      </c>
      <c r="L243" s="19">
        <f t="shared" si="4"/>
        <v>491369.79000000004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4883054.9099999992</v>
      </c>
      <c r="G246" s="41">
        <f t="shared" si="5"/>
        <v>1669107.4499999997</v>
      </c>
      <c r="H246" s="41">
        <f t="shared" si="5"/>
        <v>1252210.1100000001</v>
      </c>
      <c r="I246" s="41">
        <f t="shared" si="5"/>
        <v>482382.96</v>
      </c>
      <c r="J246" s="41">
        <f t="shared" si="5"/>
        <v>127556.53999999998</v>
      </c>
      <c r="K246" s="41">
        <f t="shared" si="5"/>
        <v>26855.670000000002</v>
      </c>
      <c r="L246" s="41">
        <f t="shared" si="5"/>
        <v>8441167.6400000006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241888.96+27066.6+10758.5+14574.32</f>
        <v>294288.38</v>
      </c>
      <c r="I254" s="18"/>
      <c r="J254" s="18"/>
      <c r="K254" s="18"/>
      <c r="L254" s="19">
        <f t="shared" si="6"/>
        <v>294288.38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294288.38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294288.38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14434415.809999999</v>
      </c>
      <c r="G256" s="41">
        <f t="shared" si="8"/>
        <v>4826011.2899999991</v>
      </c>
      <c r="H256" s="41">
        <f t="shared" si="8"/>
        <v>2866231.63</v>
      </c>
      <c r="I256" s="41">
        <f t="shared" si="8"/>
        <v>1279649.28</v>
      </c>
      <c r="J256" s="41">
        <f t="shared" si="8"/>
        <v>339858.26</v>
      </c>
      <c r="K256" s="41">
        <f t="shared" si="8"/>
        <v>48437.87</v>
      </c>
      <c r="L256" s="41">
        <f t="shared" si="8"/>
        <v>23794604.140000001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100000+608490.4</f>
        <v>708490.4</v>
      </c>
      <c r="L259" s="19">
        <f>SUM(F259:K259)</f>
        <v>708490.4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56265+55906.18</f>
        <v>112171.18</v>
      </c>
      <c r="L260" s="19">
        <f>SUM(F260:K260)</f>
        <v>112171.18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95423.39+54810.98</f>
        <v>150234.37</v>
      </c>
      <c r="L262" s="19">
        <f>SUM(F262:K262)</f>
        <v>150234.37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481507.91+148865</f>
        <v>630372.90999999992</v>
      </c>
      <c r="L265" s="19">
        <f t="shared" si="9"/>
        <v>630372.90999999992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1601268.8599999999</v>
      </c>
      <c r="L269" s="41">
        <f t="shared" si="9"/>
        <v>1601268.8599999999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14434415.809999999</v>
      </c>
      <c r="G270" s="42">
        <f t="shared" si="11"/>
        <v>4826011.2899999991</v>
      </c>
      <c r="H270" s="42">
        <f t="shared" si="11"/>
        <v>2866231.63</v>
      </c>
      <c r="I270" s="42">
        <f t="shared" si="11"/>
        <v>1279649.28</v>
      </c>
      <c r="J270" s="42">
        <f t="shared" si="11"/>
        <v>339858.26</v>
      </c>
      <c r="K270" s="42">
        <f t="shared" si="11"/>
        <v>1649706.73</v>
      </c>
      <c r="L270" s="42">
        <f t="shared" si="11"/>
        <v>25395873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436576.26+1031.25-0.04</f>
        <v>437607.47000000003</v>
      </c>
      <c r="G275" s="18">
        <f>125660.58+174.74</f>
        <v>125835.32</v>
      </c>
      <c r="H275" s="18">
        <f>60159.36+20294.39</f>
        <v>80453.75</v>
      </c>
      <c r="I275" s="18">
        <f>70027.34+1751.5</f>
        <v>71778.84</v>
      </c>
      <c r="J275" s="18">
        <f>49889.56+4152.75</f>
        <v>54042.31</v>
      </c>
      <c r="K275" s="18">
        <v>200</v>
      </c>
      <c r="L275" s="19">
        <f>SUM(F275:K275)</f>
        <v>769917.69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3000</f>
        <v>3000</v>
      </c>
      <c r="G276" s="18"/>
      <c r="H276" s="18">
        <f>98119.5</f>
        <v>98119.5</v>
      </c>
      <c r="I276" s="18">
        <f>3366.48+10626.73</f>
        <v>13993.21</v>
      </c>
      <c r="J276" s="18">
        <v>2781.42</v>
      </c>
      <c r="K276" s="18"/>
      <c r="L276" s="19">
        <f>SUM(F276:K276)</f>
        <v>117894.12999999999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4816.4+168298.86</f>
        <v>173115.25999999998</v>
      </c>
      <c r="G280" s="18">
        <f>1918.6+45037.97</f>
        <v>46956.57</v>
      </c>
      <c r="H280" s="18">
        <v>18960.55</v>
      </c>
      <c r="I280" s="18"/>
      <c r="J280" s="18"/>
      <c r="K280" s="18"/>
      <c r="L280" s="19">
        <f t="shared" ref="L280:L286" si="12">SUM(F280:K280)</f>
        <v>239032.37999999998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8507.01</v>
      </c>
      <c r="G281" s="18">
        <v>1158.6199999999999</v>
      </c>
      <c r="H281" s="18">
        <v>58544.480000000003</v>
      </c>
      <c r="I281" s="18">
        <v>407.42</v>
      </c>
      <c r="J281" s="18"/>
      <c r="K281" s="18"/>
      <c r="L281" s="19">
        <f t="shared" si="12"/>
        <v>68617.53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23616.74+2725.5</f>
        <v>26342.240000000002</v>
      </c>
      <c r="G282" s="18">
        <f>7152.43+792.44</f>
        <v>7944.8700000000008</v>
      </c>
      <c r="H282" s="18"/>
      <c r="I282" s="18">
        <f>1103.66</f>
        <v>1103.6600000000001</v>
      </c>
      <c r="J282" s="18"/>
      <c r="K282" s="18"/>
      <c r="L282" s="19">
        <f t="shared" si="12"/>
        <v>35390.770000000004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63345</f>
        <v>63345</v>
      </c>
      <c r="G283" s="18">
        <f>18018.02</f>
        <v>18018.02</v>
      </c>
      <c r="H283" s="18">
        <f>979.8</f>
        <v>979.8</v>
      </c>
      <c r="I283" s="18">
        <f>1332.4</f>
        <v>1332.4</v>
      </c>
      <c r="J283" s="18"/>
      <c r="K283" s="18"/>
      <c r="L283" s="19">
        <f t="shared" si="12"/>
        <v>83675.22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f>21513.26</f>
        <v>21513.26</v>
      </c>
      <c r="G284" s="18">
        <f>6161.45</f>
        <v>6161.45</v>
      </c>
      <c r="H284" s="18"/>
      <c r="I284" s="18"/>
      <c r="J284" s="18"/>
      <c r="K284" s="18"/>
      <c r="L284" s="19">
        <f t="shared" si="12"/>
        <v>27674.71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f>3765.74</f>
        <v>3765.74</v>
      </c>
      <c r="I286" s="18"/>
      <c r="J286" s="18"/>
      <c r="K286" s="18"/>
      <c r="L286" s="19">
        <f t="shared" si="12"/>
        <v>3765.74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733430.24</v>
      </c>
      <c r="G289" s="42">
        <f t="shared" si="13"/>
        <v>206074.85</v>
      </c>
      <c r="H289" s="42">
        <f t="shared" si="13"/>
        <v>260823.81999999998</v>
      </c>
      <c r="I289" s="42">
        <f t="shared" si="13"/>
        <v>88615.529999999984</v>
      </c>
      <c r="J289" s="42">
        <f t="shared" si="13"/>
        <v>56823.729999999996</v>
      </c>
      <c r="K289" s="42">
        <f t="shared" si="13"/>
        <v>200</v>
      </c>
      <c r="L289" s="41">
        <f t="shared" si="13"/>
        <v>1345968.17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343.75</v>
      </c>
      <c r="G313" s="18">
        <v>58.25</v>
      </c>
      <c r="H313" s="18">
        <f>8500+6764.8</f>
        <v>15264.8</v>
      </c>
      <c r="I313" s="18">
        <v>583.83000000000004</v>
      </c>
      <c r="J313" s="18">
        <v>1384.25</v>
      </c>
      <c r="K313" s="18"/>
      <c r="L313" s="19">
        <f>SUM(F313:K313)</f>
        <v>17634.879999999997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>
        <v>3542.24</v>
      </c>
      <c r="J314" s="18">
        <v>927.14</v>
      </c>
      <c r="K314" s="18"/>
      <c r="L314" s="19">
        <f>SUM(F314:K314)</f>
        <v>4469.38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>
        <f>19004.47</f>
        <v>19004.47</v>
      </c>
      <c r="J315" s="18">
        <f>17950</f>
        <v>17950</v>
      </c>
      <c r="K315" s="18"/>
      <c r="L315" s="19">
        <f>SUM(F315:K315)</f>
        <v>36954.47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56099.62</v>
      </c>
      <c r="G318" s="18">
        <v>15012.66</v>
      </c>
      <c r="H318" s="18">
        <v>6320.18</v>
      </c>
      <c r="I318" s="18"/>
      <c r="J318" s="18"/>
      <c r="K318" s="18"/>
      <c r="L318" s="19">
        <f t="shared" ref="L318:L324" si="16">SUM(F318:K318)</f>
        <v>77432.459999999992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2835.67</v>
      </c>
      <c r="G319" s="18">
        <v>386.21</v>
      </c>
      <c r="H319" s="18">
        <f>3597.58+19514.83</f>
        <v>23112.410000000003</v>
      </c>
      <c r="I319" s="18">
        <f>236.77+135.81</f>
        <v>372.58000000000004</v>
      </c>
      <c r="J319" s="18"/>
      <c r="K319" s="18">
        <f>1243</f>
        <v>1243</v>
      </c>
      <c r="L319" s="19">
        <f t="shared" si="16"/>
        <v>27949.870000000006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908.5</v>
      </c>
      <c r="G320" s="18">
        <v>264.14999999999998</v>
      </c>
      <c r="H320" s="18"/>
      <c r="I320" s="18"/>
      <c r="J320" s="18"/>
      <c r="K320" s="18"/>
      <c r="L320" s="19">
        <f t="shared" si="16"/>
        <v>1172.6500000000001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6500</f>
        <v>6500</v>
      </c>
      <c r="I324" s="18"/>
      <c r="J324" s="18"/>
      <c r="K324" s="18"/>
      <c r="L324" s="19">
        <f t="shared" si="16"/>
        <v>6500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60187.54</v>
      </c>
      <c r="G327" s="42">
        <f t="shared" si="17"/>
        <v>15721.269999999999</v>
      </c>
      <c r="H327" s="42">
        <f t="shared" si="17"/>
        <v>51197.39</v>
      </c>
      <c r="I327" s="42">
        <f t="shared" si="17"/>
        <v>23503.120000000003</v>
      </c>
      <c r="J327" s="42">
        <f t="shared" si="17"/>
        <v>20261.39</v>
      </c>
      <c r="K327" s="42">
        <f t="shared" si="17"/>
        <v>1243</v>
      </c>
      <c r="L327" s="41">
        <f t="shared" si="17"/>
        <v>172113.71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f>14711</f>
        <v>14711</v>
      </c>
      <c r="I335" s="18"/>
      <c r="J335" s="18"/>
      <c r="K335" s="18"/>
      <c r="L335" s="19">
        <f t="shared" si="18"/>
        <v>14711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14711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14711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793617.78</v>
      </c>
      <c r="G337" s="41">
        <f t="shared" si="20"/>
        <v>221796.12</v>
      </c>
      <c r="H337" s="41">
        <f t="shared" si="20"/>
        <v>326732.20999999996</v>
      </c>
      <c r="I337" s="41">
        <f t="shared" si="20"/>
        <v>112118.65</v>
      </c>
      <c r="J337" s="41">
        <f t="shared" si="20"/>
        <v>77085.119999999995</v>
      </c>
      <c r="K337" s="41">
        <f t="shared" si="20"/>
        <v>1443</v>
      </c>
      <c r="L337" s="41">
        <f t="shared" si="20"/>
        <v>1532792.88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f>17523.16+990.98+575.49+6674.66+191.83+2224.89</f>
        <v>28181.010000000002</v>
      </c>
      <c r="L343" s="19">
        <f t="shared" ref="L343:L349" si="21">SUM(F343:K343)</f>
        <v>28181.010000000002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28181.010000000002</v>
      </c>
      <c r="L350" s="41">
        <f>SUM(L340:L349)</f>
        <v>28181.010000000002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793617.78</v>
      </c>
      <c r="G351" s="41">
        <f>G337</f>
        <v>221796.12</v>
      </c>
      <c r="H351" s="41">
        <f>H337</f>
        <v>326732.20999999996</v>
      </c>
      <c r="I351" s="41">
        <f>I337</f>
        <v>112118.65</v>
      </c>
      <c r="J351" s="41">
        <f>J337</f>
        <v>77085.119999999995</v>
      </c>
      <c r="K351" s="47">
        <f>K337+K350</f>
        <v>29624.010000000002</v>
      </c>
      <c r="L351" s="41">
        <f>L337+L350</f>
        <v>1560973.89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178085.15</v>
      </c>
      <c r="G357" s="18">
        <v>45850.49</v>
      </c>
      <c r="H357" s="18">
        <v>773.55</v>
      </c>
      <c r="I357" s="18">
        <v>222002.27</v>
      </c>
      <c r="J357" s="18"/>
      <c r="K357" s="18"/>
      <c r="L357" s="13">
        <f>SUM(F357:K357)</f>
        <v>446711.45999999996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136178.64000000001</v>
      </c>
      <c r="G359" s="18">
        <v>55714.84</v>
      </c>
      <c r="H359" s="18">
        <v>473.37</v>
      </c>
      <c r="I359" s="18">
        <v>114686.07</v>
      </c>
      <c r="J359" s="18">
        <v>1538.74</v>
      </c>
      <c r="K359" s="18">
        <v>1386.25</v>
      </c>
      <c r="L359" s="19">
        <f>SUM(F359:K359)</f>
        <v>309977.91000000003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314263.79000000004</v>
      </c>
      <c r="G361" s="47">
        <f t="shared" si="22"/>
        <v>101565.32999999999</v>
      </c>
      <c r="H361" s="47">
        <f t="shared" si="22"/>
        <v>1246.92</v>
      </c>
      <c r="I361" s="47">
        <f t="shared" si="22"/>
        <v>336688.33999999997</v>
      </c>
      <c r="J361" s="47">
        <f t="shared" si="22"/>
        <v>1538.74</v>
      </c>
      <c r="K361" s="47">
        <f t="shared" si="22"/>
        <v>1386.25</v>
      </c>
      <c r="L361" s="47">
        <f t="shared" si="22"/>
        <v>756689.37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208518.83</v>
      </c>
      <c r="G366" s="18"/>
      <c r="H366" s="18">
        <f>104905.09+857.28+1686.89</f>
        <v>107449.26</v>
      </c>
      <c r="I366" s="56">
        <f>SUM(F366:H366)</f>
        <v>315968.08999999997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13483.44</v>
      </c>
      <c r="G367" s="63"/>
      <c r="H367" s="63">
        <f>6826.69+410.12</f>
        <v>7236.8099999999995</v>
      </c>
      <c r="I367" s="56">
        <f>SUM(F367:H367)</f>
        <v>20720.25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222002.27</v>
      </c>
      <c r="G368" s="47">
        <f>SUM(G366:G367)</f>
        <v>0</v>
      </c>
      <c r="H368" s="47">
        <f>SUM(H366:H367)</f>
        <v>114686.06999999999</v>
      </c>
      <c r="I368" s="47">
        <f>SUM(I366:I367)</f>
        <v>336688.33999999997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40145.949999999997</v>
      </c>
      <c r="I379" s="18"/>
      <c r="J379" s="18"/>
      <c r="K379" s="18"/>
      <c r="L379" s="13">
        <f t="shared" si="23"/>
        <v>40145.949999999997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40145.949999999997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40145.949999999997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f>481507.91+148865</f>
        <v>630372.90999999992</v>
      </c>
      <c r="H388" s="18">
        <f>536.45+3465.35+1388.97+120.63+1.54+5.03+7.81+10852.95</f>
        <v>16378.730000000001</v>
      </c>
      <c r="I388" s="18"/>
      <c r="J388" s="24" t="s">
        <v>289</v>
      </c>
      <c r="K388" s="24" t="s">
        <v>289</v>
      </c>
      <c r="L388" s="56">
        <f t="shared" si="25"/>
        <v>646751.6399999999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630372.90999999992</v>
      </c>
      <c r="H392" s="139">
        <f>SUM(H386:H391)</f>
        <v>16378.730000000001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646751.6399999999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f>4170.26+15627.08</f>
        <v>19797.34</v>
      </c>
      <c r="I394" s="18"/>
      <c r="J394" s="24" t="s">
        <v>289</v>
      </c>
      <c r="K394" s="24" t="s">
        <v>289</v>
      </c>
      <c r="L394" s="56">
        <f t="shared" ref="L394:L399" si="26">SUM(F394:K394)</f>
        <v>19797.34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1910.09</v>
      </c>
      <c r="I396" s="18"/>
      <c r="J396" s="24" t="s">
        <v>289</v>
      </c>
      <c r="K396" s="24" t="s">
        <v>289</v>
      </c>
      <c r="L396" s="56">
        <f t="shared" si="26"/>
        <v>1910.09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1721.94+141.47+6451.67</f>
        <v>8315.08</v>
      </c>
      <c r="I399" s="18"/>
      <c r="J399" s="24" t="s">
        <v>289</v>
      </c>
      <c r="K399" s="24" t="s">
        <v>289</v>
      </c>
      <c r="L399" s="56">
        <f t="shared" si="26"/>
        <v>8315.08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30022.510000000002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30022.510000000002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630372.90999999992</v>
      </c>
      <c r="H407" s="47">
        <f>H392+H400+H406</f>
        <v>46401.240000000005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676774.14999999991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385000</v>
      </c>
      <c r="L414" s="56">
        <f t="shared" si="27"/>
        <v>385000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385000</v>
      </c>
      <c r="L418" s="47">
        <f t="shared" si="28"/>
        <v>385000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385000</v>
      </c>
      <c r="L433" s="47">
        <f t="shared" si="32"/>
        <v>385000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f>128771.6+150706.3+26186.58+19543.63+602151.01+348190.76+25792.24+175372.72</f>
        <v>1476714.84</v>
      </c>
      <c r="G439" s="18">
        <f>692775.24+286057.86</f>
        <v>978833.1</v>
      </c>
      <c r="H439" s="18"/>
      <c r="I439" s="56">
        <f t="shared" si="33"/>
        <v>2455547.94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1476714.84</v>
      </c>
      <c r="G445" s="13">
        <f>SUM(G438:G444)</f>
        <v>978833.1</v>
      </c>
      <c r="H445" s="13">
        <f>SUM(H438:H444)</f>
        <v>0</v>
      </c>
      <c r="I445" s="13">
        <f>SUM(I438:I444)</f>
        <v>2455547.94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1476714.84</v>
      </c>
      <c r="G458" s="18">
        <v>978833.1</v>
      </c>
      <c r="H458" s="18"/>
      <c r="I458" s="56">
        <f t="shared" si="34"/>
        <v>2455547.94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1476714.84</v>
      </c>
      <c r="G459" s="83">
        <f>SUM(G453:G458)</f>
        <v>978833.1</v>
      </c>
      <c r="H459" s="83">
        <f>SUM(H453:H458)</f>
        <v>0</v>
      </c>
      <c r="I459" s="83">
        <f>SUM(I453:I458)</f>
        <v>2455547.94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1476714.84</v>
      </c>
      <c r="G460" s="42">
        <f>G451+G459</f>
        <v>978833.1</v>
      </c>
      <c r="H460" s="42">
        <f>H451+H459</f>
        <v>0</v>
      </c>
      <c r="I460" s="42">
        <f>I451+I459</f>
        <v>2455547.94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481507.91</v>
      </c>
      <c r="G464" s="18">
        <v>0</v>
      </c>
      <c r="H464" s="18">
        <v>40590.53</v>
      </c>
      <c r="I464" s="18">
        <v>40145.949999999997</v>
      </c>
      <c r="J464" s="18">
        <v>2163773.79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25871967.120000001</v>
      </c>
      <c r="G467" s="18">
        <v>756689.37</v>
      </c>
      <c r="H467" s="18">
        <v>1571026.39</v>
      </c>
      <c r="I467" s="18">
        <v>0</v>
      </c>
      <c r="J467" s="18">
        <f>481507.91+148865+13469.54+32931.7</f>
        <v>676774.14999999991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25871967.120000001</v>
      </c>
      <c r="G469" s="53">
        <f>SUM(G467:G468)</f>
        <v>756689.37</v>
      </c>
      <c r="H469" s="53">
        <f>SUM(H467:H468)</f>
        <v>1571026.39</v>
      </c>
      <c r="I469" s="53">
        <f>SUM(I467:I468)</f>
        <v>0</v>
      </c>
      <c r="J469" s="53">
        <f>SUM(J467:J468)</f>
        <v>676774.14999999991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24914365.09+481507.91</f>
        <v>25395873</v>
      </c>
      <c r="G471" s="18">
        <v>756689.37</v>
      </c>
      <c r="H471" s="18">
        <v>1560973.89</v>
      </c>
      <c r="I471" s="18">
        <v>40145.949999999997</v>
      </c>
      <c r="J471" s="18">
        <v>385000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25395873</v>
      </c>
      <c r="G473" s="53">
        <f>SUM(G471:G472)</f>
        <v>756689.37</v>
      </c>
      <c r="H473" s="53">
        <f>SUM(H471:H472)</f>
        <v>1560973.89</v>
      </c>
      <c r="I473" s="53">
        <f>SUM(I471:I472)</f>
        <v>40145.949999999997</v>
      </c>
      <c r="J473" s="53">
        <f>SUM(J471:J472)</f>
        <v>385000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957602.03000000119</v>
      </c>
      <c r="G475" s="53">
        <f>(G464+G469)- G473</f>
        <v>0</v>
      </c>
      <c r="H475" s="53">
        <f>(H464+H469)- H473</f>
        <v>50643.030000000028</v>
      </c>
      <c r="I475" s="53">
        <f>(I464+I469)- I473</f>
        <v>0</v>
      </c>
      <c r="J475" s="53">
        <f>(J464+J469)- J473</f>
        <v>2455547.94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19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1911965</v>
      </c>
      <c r="G492" s="18">
        <v>3042452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0.05</v>
      </c>
      <c r="G493" s="18">
        <v>0.02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1400000</v>
      </c>
      <c r="G494" s="18">
        <v>2433960</v>
      </c>
      <c r="H494" s="18"/>
      <c r="I494" s="18"/>
      <c r="J494" s="18"/>
      <c r="K494" s="53">
        <f>SUM(F494:J494)</f>
        <v>3833960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100000</v>
      </c>
      <c r="G496" s="18">
        <v>608492</v>
      </c>
      <c r="H496" s="18"/>
      <c r="I496" s="18"/>
      <c r="J496" s="18"/>
      <c r="K496" s="53">
        <f t="shared" si="35"/>
        <v>708492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1200000</v>
      </c>
      <c r="G497" s="204">
        <v>1825468</v>
      </c>
      <c r="H497" s="204"/>
      <c r="I497" s="204"/>
      <c r="J497" s="204"/>
      <c r="K497" s="205">
        <f t="shared" si="35"/>
        <v>3025468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312747.5</v>
      </c>
      <c r="G498" s="18">
        <v>169243.57</v>
      </c>
      <c r="H498" s="18"/>
      <c r="I498" s="18"/>
      <c r="J498" s="18"/>
      <c r="K498" s="53">
        <f t="shared" si="35"/>
        <v>481991.07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1512747.5</v>
      </c>
      <c r="G499" s="42">
        <f>SUM(G497:G498)</f>
        <v>1994711.57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3507459.0700000003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100000</v>
      </c>
      <c r="G500" s="204">
        <v>608492</v>
      </c>
      <c r="H500" s="204"/>
      <c r="I500" s="204"/>
      <c r="J500" s="204"/>
      <c r="K500" s="205">
        <f t="shared" si="35"/>
        <v>708492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51265</v>
      </c>
      <c r="G501" s="18">
        <v>70518.2</v>
      </c>
      <c r="H501" s="18"/>
      <c r="I501" s="18"/>
      <c r="J501" s="18"/>
      <c r="K501" s="53">
        <f t="shared" si="35"/>
        <v>121783.2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151265</v>
      </c>
      <c r="G502" s="42">
        <f>SUM(G500:G501)</f>
        <v>679010.2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830275.2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944705.63</v>
      </c>
      <c r="G520" s="18">
        <v>433977.92</v>
      </c>
      <c r="H520" s="18">
        <v>430943.33</v>
      </c>
      <c r="I520" s="18">
        <v>33505.160000000003</v>
      </c>
      <c r="J520" s="18">
        <v>17391.8</v>
      </c>
      <c r="K520" s="18"/>
      <c r="L520" s="88">
        <f>SUM(F520:K520)</f>
        <v>1860523.84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314901.88</v>
      </c>
      <c r="G522" s="18">
        <v>144659.29999999999</v>
      </c>
      <c r="H522" s="18">
        <v>558440.31000000006</v>
      </c>
      <c r="I522" s="18">
        <v>11168.39</v>
      </c>
      <c r="J522" s="18">
        <v>5797.27</v>
      </c>
      <c r="K522" s="18"/>
      <c r="L522" s="88">
        <f>SUM(F522:K522)</f>
        <v>1034967.15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1259607.51</v>
      </c>
      <c r="G523" s="108">
        <f t="shared" ref="G523:L523" si="36">SUM(G520:G522)</f>
        <v>578637.22</v>
      </c>
      <c r="H523" s="108">
        <f t="shared" si="36"/>
        <v>989383.64000000013</v>
      </c>
      <c r="I523" s="108">
        <f t="shared" si="36"/>
        <v>44673.55</v>
      </c>
      <c r="J523" s="108">
        <f t="shared" si="36"/>
        <v>23189.07</v>
      </c>
      <c r="K523" s="108">
        <f t="shared" si="36"/>
        <v>0</v>
      </c>
      <c r="L523" s="89">
        <f t="shared" si="36"/>
        <v>2895490.99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1317911.6100000001</v>
      </c>
      <c r="G525" s="18">
        <v>142888.26999999999</v>
      </c>
      <c r="H525" s="18">
        <v>55035.05</v>
      </c>
      <c r="I525" s="18"/>
      <c r="J525" s="18"/>
      <c r="K525" s="18">
        <v>2719.02</v>
      </c>
      <c r="L525" s="88">
        <f>SUM(F525:K525)</f>
        <v>1518553.9500000002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439303.87</v>
      </c>
      <c r="G527" s="18">
        <v>47629.42</v>
      </c>
      <c r="H527" s="18">
        <v>18345.02</v>
      </c>
      <c r="I527" s="18"/>
      <c r="J527" s="18"/>
      <c r="K527" s="18">
        <v>906.34</v>
      </c>
      <c r="L527" s="88">
        <f>SUM(F527:K527)</f>
        <v>506184.65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1757215.48</v>
      </c>
      <c r="G528" s="89">
        <f t="shared" ref="G528:L528" si="37">SUM(G525:G527)</f>
        <v>190517.69</v>
      </c>
      <c r="H528" s="89">
        <f t="shared" si="37"/>
        <v>73380.070000000007</v>
      </c>
      <c r="I528" s="89">
        <f t="shared" si="37"/>
        <v>0</v>
      </c>
      <c r="J528" s="89">
        <f t="shared" si="37"/>
        <v>0</v>
      </c>
      <c r="K528" s="89">
        <f t="shared" si="37"/>
        <v>3625.36</v>
      </c>
      <c r="L528" s="89">
        <f t="shared" si="37"/>
        <v>2024738.6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156530.89000000001</v>
      </c>
      <c r="G530" s="18">
        <v>57945.54</v>
      </c>
      <c r="H530" s="18">
        <v>12705.67</v>
      </c>
      <c r="I530" s="18"/>
      <c r="J530" s="18"/>
      <c r="K530" s="18">
        <v>652.54</v>
      </c>
      <c r="L530" s="88">
        <f>SUM(F530:K530)</f>
        <v>227834.64000000004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52176.959999999999</v>
      </c>
      <c r="G532" s="18">
        <v>19315.2</v>
      </c>
      <c r="H532" s="18">
        <v>4235.22</v>
      </c>
      <c r="I532" s="18"/>
      <c r="J532" s="18"/>
      <c r="K532" s="18">
        <v>217.51</v>
      </c>
      <c r="L532" s="88">
        <f>SUM(F532:K532)</f>
        <v>75944.89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208707.85</v>
      </c>
      <c r="G533" s="89">
        <f t="shared" ref="G533:L533" si="38">SUM(G530:G532)</f>
        <v>77260.740000000005</v>
      </c>
      <c r="H533" s="89">
        <f t="shared" si="38"/>
        <v>16940.89</v>
      </c>
      <c r="I533" s="89">
        <f t="shared" si="38"/>
        <v>0</v>
      </c>
      <c r="J533" s="89">
        <f t="shared" si="38"/>
        <v>0</v>
      </c>
      <c r="K533" s="89">
        <f t="shared" si="38"/>
        <v>870.05</v>
      </c>
      <c r="L533" s="89">
        <f t="shared" si="38"/>
        <v>303779.53000000003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1450.43</v>
      </c>
      <c r="I535" s="18"/>
      <c r="J535" s="18"/>
      <c r="K535" s="18"/>
      <c r="L535" s="88">
        <f>SUM(F535:K535)</f>
        <v>1450.43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483.48</v>
      </c>
      <c r="I537" s="18"/>
      <c r="J537" s="18"/>
      <c r="K537" s="18"/>
      <c r="L537" s="88">
        <f>SUM(F537:K537)</f>
        <v>483.48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1933.91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1933.91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91227.15</v>
      </c>
      <c r="G540" s="18">
        <v>14059.88</v>
      </c>
      <c r="H540" s="18">
        <v>52757.87</v>
      </c>
      <c r="I540" s="18">
        <v>29477.41</v>
      </c>
      <c r="J540" s="18">
        <v>2088.75</v>
      </c>
      <c r="K540" s="18"/>
      <c r="L540" s="88">
        <f>SUM(F540:K540)</f>
        <v>189611.06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60818.1</v>
      </c>
      <c r="G542" s="18">
        <v>9373.25</v>
      </c>
      <c r="H542" s="18">
        <v>35171.910000000003</v>
      </c>
      <c r="I542" s="18">
        <v>19651.61</v>
      </c>
      <c r="J542" s="18"/>
      <c r="K542" s="18"/>
      <c r="L542" s="88">
        <f>SUM(F542:K542)</f>
        <v>125014.87000000001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152045.25</v>
      </c>
      <c r="G543" s="193">
        <f t="shared" ref="G543:L543" si="40">SUM(G540:G542)</f>
        <v>23433.129999999997</v>
      </c>
      <c r="H543" s="193">
        <f t="shared" si="40"/>
        <v>87929.78</v>
      </c>
      <c r="I543" s="193">
        <f t="shared" si="40"/>
        <v>49129.020000000004</v>
      </c>
      <c r="J543" s="193">
        <f t="shared" si="40"/>
        <v>2088.75</v>
      </c>
      <c r="K543" s="193">
        <f t="shared" si="40"/>
        <v>0</v>
      </c>
      <c r="L543" s="193">
        <f t="shared" si="40"/>
        <v>314625.93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3377576.0900000003</v>
      </c>
      <c r="G544" s="89">
        <f t="shared" ref="G544:L544" si="41">G523+G528+G533+G538+G543</f>
        <v>869848.77999999991</v>
      </c>
      <c r="H544" s="89">
        <f t="shared" si="41"/>
        <v>1169568.29</v>
      </c>
      <c r="I544" s="89">
        <f t="shared" si="41"/>
        <v>93802.57</v>
      </c>
      <c r="J544" s="89">
        <f t="shared" si="41"/>
        <v>25277.82</v>
      </c>
      <c r="K544" s="89">
        <f t="shared" si="41"/>
        <v>4495.41</v>
      </c>
      <c r="L544" s="89">
        <f t="shared" si="41"/>
        <v>5540568.96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1860523.84</v>
      </c>
      <c r="G548" s="87">
        <f>L525</f>
        <v>1518553.9500000002</v>
      </c>
      <c r="H548" s="87">
        <f>L530</f>
        <v>227834.64000000004</v>
      </c>
      <c r="I548" s="87">
        <f>L535</f>
        <v>1450.43</v>
      </c>
      <c r="J548" s="87">
        <f>L540</f>
        <v>189611.06</v>
      </c>
      <c r="K548" s="87">
        <f>SUM(F548:J548)</f>
        <v>3797973.9200000004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1034967.15</v>
      </c>
      <c r="G550" s="87">
        <f>L527</f>
        <v>506184.65</v>
      </c>
      <c r="H550" s="87">
        <f>L532</f>
        <v>75944.89</v>
      </c>
      <c r="I550" s="87">
        <f>L537</f>
        <v>483.48</v>
      </c>
      <c r="J550" s="87">
        <f>L542</f>
        <v>125014.87000000001</v>
      </c>
      <c r="K550" s="87">
        <f>SUM(F550:J550)</f>
        <v>1742595.04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2895490.99</v>
      </c>
      <c r="G551" s="89">
        <f t="shared" si="42"/>
        <v>2024738.6</v>
      </c>
      <c r="H551" s="89">
        <f t="shared" si="42"/>
        <v>303779.53000000003</v>
      </c>
      <c r="I551" s="89">
        <f t="shared" si="42"/>
        <v>1933.91</v>
      </c>
      <c r="J551" s="89">
        <f t="shared" si="42"/>
        <v>314625.93</v>
      </c>
      <c r="K551" s="89">
        <f t="shared" si="42"/>
        <v>5540568.9600000009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4683</v>
      </c>
      <c r="G578" s="18"/>
      <c r="H578" s="18">
        <v>15183.9</v>
      </c>
      <c r="I578" s="87">
        <f t="shared" si="47"/>
        <v>19866.900000000001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345754.49</v>
      </c>
      <c r="G581" s="18"/>
      <c r="H581" s="18">
        <v>544641.02</v>
      </c>
      <c r="I581" s="87">
        <f t="shared" si="47"/>
        <v>890395.51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10518.21</v>
      </c>
      <c r="I583" s="87">
        <f t="shared" si="47"/>
        <v>10518.21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314133</v>
      </c>
      <c r="I584" s="87">
        <f t="shared" si="47"/>
        <v>314133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428274.04+50561.07+26378.85</f>
        <v>505213.95999999996</v>
      </c>
      <c r="I590" s="18"/>
      <c r="J590" s="18">
        <f>285516.03-50561.07</f>
        <v>234954.96000000002</v>
      </c>
      <c r="K590" s="104">
        <f t="shared" ref="K590:K596" si="48">SUM(H590:J590)</f>
        <v>740168.91999999993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189611.06</v>
      </c>
      <c r="I591" s="18"/>
      <c r="J591" s="18">
        <v>125014.87</v>
      </c>
      <c r="K591" s="104">
        <f t="shared" si="48"/>
        <v>314625.93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83059.100000000006</v>
      </c>
      <c r="K592" s="104">
        <f t="shared" si="48"/>
        <v>83059.100000000006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16113.62</v>
      </c>
      <c r="I593" s="18"/>
      <c r="J593" s="18">
        <v>48340.86</v>
      </c>
      <c r="K593" s="104">
        <f t="shared" si="48"/>
        <v>64454.48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710938.64</v>
      </c>
      <c r="I597" s="108">
        <f>SUM(I590:I596)</f>
        <v>0</v>
      </c>
      <c r="J597" s="108">
        <f>SUM(J590:J596)</f>
        <v>491369.79000000004</v>
      </c>
      <c r="K597" s="108">
        <f>SUM(K590:K596)</f>
        <v>1202308.43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212301.72+56823.73</f>
        <v>269125.45</v>
      </c>
      <c r="I603" s="18"/>
      <c r="J603" s="18">
        <f>127556.54+20261.39</f>
        <v>147817.93</v>
      </c>
      <c r="K603" s="104">
        <f>SUM(H603:J603)</f>
        <v>416943.38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269125.45</v>
      </c>
      <c r="I604" s="108">
        <f>SUM(I601:I603)</f>
        <v>0</v>
      </c>
      <c r="J604" s="108">
        <f>SUM(J601:J603)</f>
        <v>147817.93</v>
      </c>
      <c r="K604" s="108">
        <f>SUM(K601:K603)</f>
        <v>416943.38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3529959.66</v>
      </c>
      <c r="H616" s="109">
        <f>SUM(F51)</f>
        <v>3529959.66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500.09999999999854</v>
      </c>
      <c r="H617" s="109">
        <f>SUM(G51)</f>
        <v>500.1</v>
      </c>
      <c r="I617" s="121" t="s">
        <v>891</v>
      </c>
      <c r="J617" s="109">
        <f>G617-H617</f>
        <v>-1.4779288903810084E-12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60819.810000000027</v>
      </c>
      <c r="H618" s="109">
        <f>SUM(H51)</f>
        <v>60819.81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2455547.94</v>
      </c>
      <c r="H620" s="109">
        <f>SUM(J51)</f>
        <v>2455547.94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957602.03</v>
      </c>
      <c r="H621" s="109">
        <f>F475</f>
        <v>957602.03000000119</v>
      </c>
      <c r="I621" s="121" t="s">
        <v>101</v>
      </c>
      <c r="J621" s="109">
        <f t="shared" ref="J621:J654" si="50">G621-H621</f>
        <v>-1.1641532182693481E-9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50643.03</v>
      </c>
      <c r="H623" s="109">
        <f>H475</f>
        <v>50643.030000000028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2455547.94</v>
      </c>
      <c r="H625" s="109">
        <f>J475</f>
        <v>2455547.94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25871967.120000001</v>
      </c>
      <c r="H626" s="104">
        <f>SUM(F467)</f>
        <v>25871967.120000001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756689.37</v>
      </c>
      <c r="H627" s="104">
        <f>SUM(G467)</f>
        <v>756689.37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1571026.3900000001</v>
      </c>
      <c r="H628" s="104">
        <f>SUM(H467)</f>
        <v>1571026.39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676774.14999999991</v>
      </c>
      <c r="H630" s="104">
        <f>SUM(J467)</f>
        <v>676774.14999999991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25395873</v>
      </c>
      <c r="H631" s="104">
        <f>SUM(F471)</f>
        <v>25395873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1560973.89</v>
      </c>
      <c r="H632" s="104">
        <f>SUM(H471)</f>
        <v>1560973.89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336688.33999999997</v>
      </c>
      <c r="H633" s="104">
        <f>I368</f>
        <v>336688.33999999997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756689.37</v>
      </c>
      <c r="H634" s="104">
        <f>SUM(G471)</f>
        <v>756689.37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40145.949999999997</v>
      </c>
      <c r="H635" s="104">
        <f>SUM(I471)</f>
        <v>40145.949999999997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676774.14999999991</v>
      </c>
      <c r="H636" s="164">
        <f>SUM(J467)</f>
        <v>676774.14999999991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385000</v>
      </c>
      <c r="H637" s="164">
        <f>SUM(J471)</f>
        <v>385000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1476714.84</v>
      </c>
      <c r="H638" s="104">
        <f>SUM(F460)</f>
        <v>1476714.84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978833.1</v>
      </c>
      <c r="H639" s="104">
        <f>SUM(G460)</f>
        <v>978833.1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2455547.94</v>
      </c>
      <c r="H641" s="104">
        <f>SUM(I460)</f>
        <v>2455547.94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46401.24</v>
      </c>
      <c r="H643" s="104">
        <f>H407</f>
        <v>46401.240000000005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630372.90999999992</v>
      </c>
      <c r="H644" s="104">
        <f>G407</f>
        <v>630372.90999999992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676774.14999999991</v>
      </c>
      <c r="H645" s="104">
        <f>L407</f>
        <v>676774.14999999991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1202308.43</v>
      </c>
      <c r="H646" s="104">
        <f>L207+L225+L243</f>
        <v>1202308.4300000002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416943.38</v>
      </c>
      <c r="H647" s="104">
        <f>(J256+J337)-(J254+J335)</f>
        <v>416943.38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710938.64</v>
      </c>
      <c r="H648" s="104">
        <f>H597</f>
        <v>710938.64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491369.79000000004</v>
      </c>
      <c r="H650" s="104">
        <f>J597</f>
        <v>491369.79000000004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150234.37</v>
      </c>
      <c r="H651" s="104">
        <f>K262+K344</f>
        <v>150234.37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630372.90999999992</v>
      </c>
      <c r="H654" s="104">
        <f>K265+K346</f>
        <v>630372.90999999992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16851827.75</v>
      </c>
      <c r="G659" s="19">
        <f>(L228+L308+L358)</f>
        <v>0</v>
      </c>
      <c r="H659" s="19">
        <f>(L246+L327+L359)</f>
        <v>8923259.2600000016</v>
      </c>
      <c r="I659" s="19">
        <f>SUM(F659:H659)</f>
        <v>25775087.010000002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162928.14754579542</v>
      </c>
      <c r="G660" s="19">
        <f>(L358/IF(SUM(L357:L359)=0,1,SUM(L357:L359))*(SUM(G96:G109)))</f>
        <v>0</v>
      </c>
      <c r="H660" s="19">
        <f>(L359/IF(SUM(L357:L359)=0,1,SUM(L357:L359))*(SUM(G96:G109)))</f>
        <v>113057.60245420458</v>
      </c>
      <c r="I660" s="19">
        <f>SUM(F660:H660)</f>
        <v>275985.75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709273.63</v>
      </c>
      <c r="G661" s="19">
        <f>(L225+L305)-(J225+J305)</f>
        <v>0</v>
      </c>
      <c r="H661" s="19">
        <f>(L243+L324)-(J243+J324)</f>
        <v>494945.54000000004</v>
      </c>
      <c r="I661" s="19">
        <f>SUM(F661:H661)</f>
        <v>1204219.17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619562.93999999994</v>
      </c>
      <c r="G662" s="199">
        <f>SUM(G574:G586)+SUM(I601:I603)+L611</f>
        <v>0</v>
      </c>
      <c r="H662" s="199">
        <f>SUM(H574:H586)+SUM(J601:J603)+L612</f>
        <v>1032294.06</v>
      </c>
      <c r="I662" s="19">
        <f>SUM(F662:H662)</f>
        <v>1651857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15360063.032454204</v>
      </c>
      <c r="G663" s="19">
        <f>G659-SUM(G660:G662)</f>
        <v>0</v>
      </c>
      <c r="H663" s="19">
        <f>H659-SUM(H660:H662)</f>
        <v>7282962.057545797</v>
      </c>
      <c r="I663" s="19">
        <f>I659-SUM(I660:I662)</f>
        <v>22643025.090000004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1021.56</v>
      </c>
      <c r="G664" s="248"/>
      <c r="H664" s="248">
        <v>548.73</v>
      </c>
      <c r="I664" s="19">
        <f>SUM(F664:H664)</f>
        <v>1570.29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15035.89</v>
      </c>
      <c r="G666" s="19" t="e">
        <f>ROUND(G663/G664,2)</f>
        <v>#DIV/0!</v>
      </c>
      <c r="H666" s="19">
        <f>ROUND(H663/H664,2)</f>
        <v>13272.4</v>
      </c>
      <c r="I666" s="19">
        <f>ROUND(I663/I664,2)</f>
        <v>14419.65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-19.21</v>
      </c>
      <c r="I669" s="19">
        <f>SUM(F669:H669)</f>
        <v>-19.21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15035.89</v>
      </c>
      <c r="G671" s="19" t="e">
        <f>ROUND((G663+G668)/(G664+G669),2)</f>
        <v>#DIV/0!</v>
      </c>
      <c r="H671" s="19">
        <f>ROUND((H663+H668)/(H664+H669),2)</f>
        <v>13753.89</v>
      </c>
      <c r="I671" s="19">
        <f>ROUND((I663+I668)/(I664+I669),2)</f>
        <v>14598.23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FALL MOUNTAIN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6663272.6399999997</v>
      </c>
      <c r="C9" s="229">
        <f>'DOE25'!G196+'DOE25'!G214+'DOE25'!G232+'DOE25'!G275+'DOE25'!G294+'DOE25'!G313</f>
        <v>2411370.4499999997</v>
      </c>
    </row>
    <row r="10" spans="1:3" x14ac:dyDescent="0.2">
      <c r="A10" t="s">
        <v>779</v>
      </c>
      <c r="B10" s="240">
        <v>6513461.0599999996</v>
      </c>
      <c r="C10" s="240">
        <v>2369235.71</v>
      </c>
    </row>
    <row r="11" spans="1:3" x14ac:dyDescent="0.2">
      <c r="A11" t="s">
        <v>780</v>
      </c>
      <c r="B11" s="240">
        <v>95392.11</v>
      </c>
      <c r="C11" s="240">
        <f>7726.76+2000+28000</f>
        <v>37726.76</v>
      </c>
    </row>
    <row r="12" spans="1:3" x14ac:dyDescent="0.2">
      <c r="A12" t="s">
        <v>781</v>
      </c>
      <c r="B12" s="240">
        <v>54419.47</v>
      </c>
      <c r="C12" s="240">
        <v>4407.9799999999996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6663272.6399999997</v>
      </c>
      <c r="C13" s="231">
        <f>SUM(C10:C12)</f>
        <v>2411370.4499999997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3225530.84</v>
      </c>
      <c r="C18" s="229">
        <f>'DOE25'!G197+'DOE25'!G215+'DOE25'!G233+'DOE25'!G276+'DOE25'!G295+'DOE25'!G314</f>
        <v>888636.82000000007</v>
      </c>
    </row>
    <row r="19" spans="1:3" x14ac:dyDescent="0.2">
      <c r="A19" t="s">
        <v>779</v>
      </c>
      <c r="B19" s="240">
        <v>1259607.51</v>
      </c>
      <c r="C19" s="240">
        <v>729398.04</v>
      </c>
    </row>
    <row r="20" spans="1:3" x14ac:dyDescent="0.2">
      <c r="A20" t="s">
        <v>780</v>
      </c>
      <c r="B20" s="240">
        <v>1268147.8600000001</v>
      </c>
      <c r="C20" s="240">
        <v>102719.97</v>
      </c>
    </row>
    <row r="21" spans="1:3" x14ac:dyDescent="0.2">
      <c r="A21" t="s">
        <v>781</v>
      </c>
      <c r="B21" s="240">
        <v>697775.47</v>
      </c>
      <c r="C21" s="240">
        <v>56519.81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3225530.84</v>
      </c>
      <c r="C22" s="231">
        <f>SUM(C19:C21)</f>
        <v>888637.82000000007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390197.2</v>
      </c>
      <c r="C27" s="234">
        <f>'DOE25'!G198+'DOE25'!G216+'DOE25'!G234+'DOE25'!G277+'DOE25'!G296+'DOE25'!G315</f>
        <v>122738.79</v>
      </c>
    </row>
    <row r="28" spans="1:3" x14ac:dyDescent="0.2">
      <c r="A28" t="s">
        <v>779</v>
      </c>
      <c r="B28" s="240">
        <v>390197.2</v>
      </c>
      <c r="C28" s="240">
        <v>122738.79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390197.2</v>
      </c>
      <c r="C31" s="231">
        <f>SUM(C28:C30)</f>
        <v>122738.79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233112.67</v>
      </c>
      <c r="C36" s="235">
        <f>'DOE25'!G199+'DOE25'!G217+'DOE25'!G235+'DOE25'!G278+'DOE25'!G297+'DOE25'!G316</f>
        <v>41753.049999999996</v>
      </c>
    </row>
    <row r="37" spans="1:3" x14ac:dyDescent="0.2">
      <c r="A37" t="s">
        <v>779</v>
      </c>
      <c r="B37" s="240">
        <v>126392.67</v>
      </c>
      <c r="C37" s="240">
        <v>31888.28</v>
      </c>
    </row>
    <row r="38" spans="1:3" x14ac:dyDescent="0.2">
      <c r="A38" t="s">
        <v>780</v>
      </c>
      <c r="B38" s="240">
        <v>19545</v>
      </c>
      <c r="C38" s="240">
        <v>1583.14</v>
      </c>
    </row>
    <row r="39" spans="1:3" x14ac:dyDescent="0.2">
      <c r="A39" t="s">
        <v>781</v>
      </c>
      <c r="B39" s="240">
        <v>87175</v>
      </c>
      <c r="C39" s="240">
        <v>8281.6299999999992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233112.66999999998</v>
      </c>
      <c r="C40" s="231">
        <f>SUM(C37:C39)</f>
        <v>41753.049999999996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M34" sqref="M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FALL MOUNTAIN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15549551.529999999</v>
      </c>
      <c r="D5" s="20">
        <f>SUM('DOE25'!L196:L199)+SUM('DOE25'!L214:L217)+SUM('DOE25'!L232:L235)-F5-G5</f>
        <v>15245105.08</v>
      </c>
      <c r="E5" s="243"/>
      <c r="F5" s="255">
        <f>SUM('DOE25'!J196:J199)+SUM('DOE25'!J214:J217)+SUM('DOE25'!J232:J235)</f>
        <v>285902.02999999997</v>
      </c>
      <c r="G5" s="53">
        <f>SUM('DOE25'!K196:K199)+SUM('DOE25'!K214:K217)+SUM('DOE25'!K232:K235)</f>
        <v>18544.419999999998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1160668.98</v>
      </c>
      <c r="D6" s="20">
        <f>'DOE25'!L201+'DOE25'!L219+'DOE25'!L237-F6-G6</f>
        <v>1156162.79</v>
      </c>
      <c r="E6" s="243"/>
      <c r="F6" s="255">
        <f>'DOE25'!J201+'DOE25'!J219+'DOE25'!J237</f>
        <v>3931.19</v>
      </c>
      <c r="G6" s="53">
        <f>'DOE25'!K201+'DOE25'!K219+'DOE25'!K237</f>
        <v>575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936331.55</v>
      </c>
      <c r="D7" s="20">
        <f>'DOE25'!L202+'DOE25'!L220+'DOE25'!L238-F7-G7</f>
        <v>922620.94000000006</v>
      </c>
      <c r="E7" s="243"/>
      <c r="F7" s="255">
        <f>'DOE25'!J202+'DOE25'!J220+'DOE25'!J238</f>
        <v>3872.72</v>
      </c>
      <c r="G7" s="53">
        <f>'DOE25'!K202+'DOE25'!K220+'DOE25'!K238</f>
        <v>9837.89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37648.699999999997</v>
      </c>
      <c r="D8" s="243"/>
      <c r="E8" s="20">
        <f>'DOE25'!L203+'DOE25'!L221+'DOE25'!L239-F8-G8-D9-D11</f>
        <v>20701.190000000002</v>
      </c>
      <c r="F8" s="255">
        <f>'DOE25'!J203+'DOE25'!J221+'DOE25'!J239</f>
        <v>7163.73</v>
      </c>
      <c r="G8" s="53">
        <f>'DOE25'!K203+'DOE25'!K221+'DOE25'!K239</f>
        <v>9783.7799999999988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121433.18</v>
      </c>
      <c r="D9" s="244">
        <v>121433.18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23180</v>
      </c>
      <c r="D10" s="243"/>
      <c r="E10" s="244">
        <v>23180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384180.97</v>
      </c>
      <c r="D11" s="244">
        <v>384180.97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1323224.0999999999</v>
      </c>
      <c r="D12" s="20">
        <f>'DOE25'!L204+'DOE25'!L222+'DOE25'!L240-F12-G12</f>
        <v>1305301.0799999998</v>
      </c>
      <c r="E12" s="243"/>
      <c r="F12" s="255">
        <f>'DOE25'!J204+'DOE25'!J222+'DOE25'!J240</f>
        <v>10336.019999999999</v>
      </c>
      <c r="G12" s="53">
        <f>'DOE25'!K204+'DOE25'!K222+'DOE25'!K240</f>
        <v>7587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288482.36000000004</v>
      </c>
      <c r="D13" s="243"/>
      <c r="E13" s="20">
        <f>'DOE25'!L205+'DOE25'!L223+'DOE25'!L241-F13-G13</f>
        <v>283535.86000000004</v>
      </c>
      <c r="F13" s="255">
        <f>'DOE25'!J205+'DOE25'!J223+'DOE25'!J241</f>
        <v>3280.35</v>
      </c>
      <c r="G13" s="53">
        <f>'DOE25'!K205+'DOE25'!K223+'DOE25'!K241</f>
        <v>1666.15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2496485.9600000004</v>
      </c>
      <c r="D14" s="20">
        <f>'DOE25'!L206+'DOE25'!L224+'DOE25'!L242-F14-G14</f>
        <v>2479468.7400000002</v>
      </c>
      <c r="E14" s="243"/>
      <c r="F14" s="255">
        <f>'DOE25'!J206+'DOE25'!J224+'DOE25'!J242</f>
        <v>17017.22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1202308.4300000002</v>
      </c>
      <c r="D15" s="20">
        <f>'DOE25'!L207+'DOE25'!L225+'DOE25'!L243-F15-G15</f>
        <v>1193509.8000000003</v>
      </c>
      <c r="E15" s="243"/>
      <c r="F15" s="255">
        <f>'DOE25'!J207+'DOE25'!J225+'DOE25'!J243</f>
        <v>8355</v>
      </c>
      <c r="G15" s="53">
        <f>'DOE25'!K207+'DOE25'!K225+'DOE25'!K243</f>
        <v>443.63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308999.38</v>
      </c>
      <c r="D22" s="243"/>
      <c r="E22" s="243"/>
      <c r="F22" s="255">
        <f>'DOE25'!L254+'DOE25'!L335</f>
        <v>308999.38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820661.58000000007</v>
      </c>
      <c r="D25" s="243"/>
      <c r="E25" s="243"/>
      <c r="F25" s="258"/>
      <c r="G25" s="256"/>
      <c r="H25" s="257">
        <f>'DOE25'!L259+'DOE25'!L260+'DOE25'!L340+'DOE25'!L341</f>
        <v>820661.58000000007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440721.28</v>
      </c>
      <c r="D29" s="20">
        <f>'DOE25'!L357+'DOE25'!L358+'DOE25'!L359-'DOE25'!I366-F29-G29</f>
        <v>437796.29000000004</v>
      </c>
      <c r="E29" s="243"/>
      <c r="F29" s="255">
        <f>'DOE25'!J357+'DOE25'!J358+'DOE25'!J359</f>
        <v>1538.74</v>
      </c>
      <c r="G29" s="53">
        <f>'DOE25'!K357+'DOE25'!K358+'DOE25'!K359</f>
        <v>1386.25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1518081.88</v>
      </c>
      <c r="D31" s="20">
        <f>'DOE25'!L289+'DOE25'!L308+'DOE25'!L327+'DOE25'!L332+'DOE25'!L333+'DOE25'!L334-F31-G31</f>
        <v>1439553.7599999998</v>
      </c>
      <c r="E31" s="243"/>
      <c r="F31" s="255">
        <f>'DOE25'!J289+'DOE25'!J308+'DOE25'!J327+'DOE25'!J332+'DOE25'!J333+'DOE25'!J334</f>
        <v>77085.119999999995</v>
      </c>
      <c r="G31" s="53">
        <f>'DOE25'!K289+'DOE25'!K308+'DOE25'!K327+'DOE25'!K332+'DOE25'!K333+'DOE25'!K334</f>
        <v>1443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24685132.630000003</v>
      </c>
      <c r="E33" s="246">
        <f>SUM(E5:E31)</f>
        <v>327417.05000000005</v>
      </c>
      <c r="F33" s="246">
        <f>SUM(F5:F31)</f>
        <v>727481.49999999988</v>
      </c>
      <c r="G33" s="246">
        <f>SUM(G5:G31)</f>
        <v>51267.119999999995</v>
      </c>
      <c r="H33" s="246">
        <f>SUM(H5:H31)</f>
        <v>820661.58000000007</v>
      </c>
    </row>
    <row r="35" spans="2:8" ht="12" thickBot="1" x14ac:dyDescent="0.25">
      <c r="B35" s="253" t="s">
        <v>847</v>
      </c>
      <c r="D35" s="254">
        <f>E33</f>
        <v>327417.05000000005</v>
      </c>
      <c r="E35" s="249"/>
    </row>
    <row r="36" spans="2:8" ht="12" thickTop="1" x14ac:dyDescent="0.2">
      <c r="B36" t="s">
        <v>815</v>
      </c>
      <c r="D36" s="20">
        <f>D33</f>
        <v>24685132.630000003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G9" sqref="G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2896653.79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2455547.94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283383.31</v>
      </c>
      <c r="D11" s="95">
        <f>'DOE25'!G12</f>
        <v>-61639.16</v>
      </c>
      <c r="E11" s="95">
        <f>'DOE25'!H12</f>
        <v>-221744.15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42008.74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8359.17</v>
      </c>
      <c r="D13" s="95">
        <f>'DOE25'!G14</f>
        <v>62139.26</v>
      </c>
      <c r="E13" s="95">
        <f>'DOE25'!H14</f>
        <v>282563.96000000002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299554.65000000002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3529959.66</v>
      </c>
      <c r="D18" s="41">
        <f>SUM(D8:D17)</f>
        <v>500.09999999999854</v>
      </c>
      <c r="E18" s="41">
        <f>SUM(E8:E17)</f>
        <v>60819.810000000027</v>
      </c>
      <c r="F18" s="41">
        <f>SUM(F8:F17)</f>
        <v>0</v>
      </c>
      <c r="G18" s="41">
        <f>SUM(G8:G17)</f>
        <v>2455547.94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785181.84</v>
      </c>
      <c r="D23" s="95">
        <f>'DOE25'!G24</f>
        <v>500.1</v>
      </c>
      <c r="E23" s="95">
        <f>'DOE25'!H24</f>
        <v>10176.780000000001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 t="str">
        <f>'DOE25'!H25</f>
        <v xml:space="preserve"> 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1781678.76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5497.03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2572357.63</v>
      </c>
      <c r="D31" s="41">
        <f>SUM(D21:D30)</f>
        <v>500.1</v>
      </c>
      <c r="E31" s="41">
        <f>SUM(E21:E30)</f>
        <v>10176.780000000001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48808.1</v>
      </c>
      <c r="F46" s="95">
        <f>'DOE25'!I47</f>
        <v>0</v>
      </c>
      <c r="G46" s="95">
        <f>'DOE25'!J47</f>
        <v>2455547.94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1834.93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457602.03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957602.03</v>
      </c>
      <c r="D49" s="41">
        <f>SUM(D34:D48)</f>
        <v>0</v>
      </c>
      <c r="E49" s="41">
        <f>SUM(E34:E48)</f>
        <v>50643.03</v>
      </c>
      <c r="F49" s="41">
        <f>SUM(F34:F48)</f>
        <v>0</v>
      </c>
      <c r="G49" s="41">
        <f>SUM(G34:G48)</f>
        <v>2455547.94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3529959.66</v>
      </c>
      <c r="D50" s="41">
        <f>D49+D31</f>
        <v>500.1</v>
      </c>
      <c r="E50" s="41">
        <f>E49+E31</f>
        <v>60819.81</v>
      </c>
      <c r="F50" s="41">
        <f>F49+F31</f>
        <v>0</v>
      </c>
      <c r="G50" s="41">
        <f>G49+G31</f>
        <v>2455547.94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12822838.85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207782.6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21473.37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46401.24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275985.75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2452</v>
      </c>
      <c r="D60" s="95">
        <f>SUM('DOE25'!G97:G109)</f>
        <v>0</v>
      </c>
      <c r="E60" s="95">
        <f>SUM('DOE25'!H97:H109)</f>
        <v>55438.21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231707.97</v>
      </c>
      <c r="D61" s="130">
        <f>SUM(D56:D60)</f>
        <v>275985.75</v>
      </c>
      <c r="E61" s="130">
        <f>SUM(E56:E60)</f>
        <v>55438.21</v>
      </c>
      <c r="F61" s="130">
        <f>SUM(F56:F60)</f>
        <v>0</v>
      </c>
      <c r="G61" s="130">
        <f>SUM(G56:G60)</f>
        <v>46401.24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13054546.82</v>
      </c>
      <c r="D62" s="22">
        <f>D55+D61</f>
        <v>275985.75</v>
      </c>
      <c r="E62" s="22">
        <f>E55+E61</f>
        <v>55438.21</v>
      </c>
      <c r="F62" s="22">
        <f>F55+F61</f>
        <v>0</v>
      </c>
      <c r="G62" s="22">
        <f>G55+G61</f>
        <v>46401.24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8748755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2366843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11115598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560387.86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320822.90999999997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218969.73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7440.31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1100180.5</v>
      </c>
      <c r="D77" s="130">
        <f>SUM(D71:D76)</f>
        <v>7440.31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12215778.5</v>
      </c>
      <c r="D80" s="130">
        <f>SUM(D78:D79)+D77+D69</f>
        <v>7440.31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216641.8</v>
      </c>
      <c r="D87" s="95">
        <f>SUM('DOE25'!G152:G160)</f>
        <v>323028.94</v>
      </c>
      <c r="E87" s="95">
        <f>SUM('DOE25'!H152:H160)</f>
        <v>1515588.1800000002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216641.8</v>
      </c>
      <c r="D90" s="131">
        <f>SUM(D84:D89)</f>
        <v>323028.94</v>
      </c>
      <c r="E90" s="131">
        <f>SUM(E84:E89)</f>
        <v>1515588.1800000002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150234.37</v>
      </c>
      <c r="E95" s="95">
        <f>'DOE25'!H178</f>
        <v>0</v>
      </c>
      <c r="F95" s="95">
        <f>'DOE25'!I178</f>
        <v>0</v>
      </c>
      <c r="G95" s="95">
        <f>'DOE25'!J178</f>
        <v>630372.90999999992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385000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385000</v>
      </c>
      <c r="D102" s="86">
        <f>SUM(D92:D101)</f>
        <v>150234.37</v>
      </c>
      <c r="E102" s="86">
        <f>SUM(E92:E101)</f>
        <v>0</v>
      </c>
      <c r="F102" s="86">
        <f>SUM(F92:F101)</f>
        <v>0</v>
      </c>
      <c r="G102" s="86">
        <f>SUM(G92:G101)</f>
        <v>630372.90999999992</v>
      </c>
    </row>
    <row r="103" spans="1:7" ht="12.75" thickTop="1" thickBot="1" x14ac:dyDescent="0.25">
      <c r="A103" s="33" t="s">
        <v>765</v>
      </c>
      <c r="C103" s="86">
        <f>C62+C80+C90+C102</f>
        <v>25871967.120000001</v>
      </c>
      <c r="D103" s="86">
        <f>D62+D80+D90+D102</f>
        <v>756689.37</v>
      </c>
      <c r="E103" s="86">
        <f>E62+E80+E90+E102</f>
        <v>1571026.3900000001</v>
      </c>
      <c r="F103" s="86">
        <f>F62+F80+F90+F102</f>
        <v>0</v>
      </c>
      <c r="G103" s="86">
        <f>G62+G80+G102</f>
        <v>676774.14999999991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9075827.6899999995</v>
      </c>
      <c r="D108" s="24" t="s">
        <v>289</v>
      </c>
      <c r="E108" s="95">
        <f>('DOE25'!L275)+('DOE25'!L294)+('DOE25'!L313)</f>
        <v>787552.57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5169440.4000000004</v>
      </c>
      <c r="D109" s="24" t="s">
        <v>289</v>
      </c>
      <c r="E109" s="95">
        <f>('DOE25'!L276)+('DOE25'!L295)+('DOE25'!L314)</f>
        <v>122363.51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901712.5199999999</v>
      </c>
      <c r="D110" s="24" t="s">
        <v>289</v>
      </c>
      <c r="E110" s="95">
        <f>('DOE25'!L277)+('DOE25'!L296)+('DOE25'!L315)</f>
        <v>36954.47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402570.92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15549551.529999999</v>
      </c>
      <c r="D114" s="86">
        <f>SUM(D108:D113)</f>
        <v>0</v>
      </c>
      <c r="E114" s="86">
        <f>SUM(E108:E113)</f>
        <v>946870.54999999993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1160668.98</v>
      </c>
      <c r="D117" s="24" t="s">
        <v>289</v>
      </c>
      <c r="E117" s="95">
        <f>+('DOE25'!L280)+('DOE25'!L299)+('DOE25'!L318)</f>
        <v>316464.83999999997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936331.55</v>
      </c>
      <c r="D118" s="24" t="s">
        <v>289</v>
      </c>
      <c r="E118" s="95">
        <f>+('DOE25'!L281)+('DOE25'!L300)+('DOE25'!L319)</f>
        <v>96567.400000000009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543262.85</v>
      </c>
      <c r="D119" s="24" t="s">
        <v>289</v>
      </c>
      <c r="E119" s="95">
        <f>+('DOE25'!L282)+('DOE25'!L301)+('DOE25'!L320)</f>
        <v>36563.420000000006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1323224.0999999999</v>
      </c>
      <c r="D120" s="24" t="s">
        <v>289</v>
      </c>
      <c r="E120" s="95">
        <f>+('DOE25'!L283)+('DOE25'!L302)+('DOE25'!L321)</f>
        <v>83675.22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288482.36000000004</v>
      </c>
      <c r="D121" s="24" t="s">
        <v>289</v>
      </c>
      <c r="E121" s="95">
        <f>+('DOE25'!L284)+('DOE25'!L303)+('DOE25'!L322)</f>
        <v>27674.71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2496485.9600000004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1202308.4300000002</v>
      </c>
      <c r="D123" s="24" t="s">
        <v>289</v>
      </c>
      <c r="E123" s="95">
        <f>+('DOE25'!L286)+('DOE25'!L305)+('DOE25'!L324)</f>
        <v>10265.74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756689.37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7950764.2300000004</v>
      </c>
      <c r="D127" s="86">
        <f>SUM(D117:D126)</f>
        <v>756689.37</v>
      </c>
      <c r="E127" s="86">
        <f>SUM(E117:E126)</f>
        <v>571211.32999999996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294288.38</v>
      </c>
      <c r="D129" s="24" t="s">
        <v>289</v>
      </c>
      <c r="E129" s="129">
        <f>'DOE25'!L335</f>
        <v>14711</v>
      </c>
      <c r="F129" s="129">
        <f>SUM('DOE25'!L373:'DOE25'!L379)</f>
        <v>40145.949999999997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708490.4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112171.18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28181.010000000002</v>
      </c>
      <c r="F133" s="95">
        <f>'DOE25'!K380</f>
        <v>0</v>
      </c>
      <c r="G133" s="95">
        <f>'DOE25'!K433</f>
        <v>385000</v>
      </c>
    </row>
    <row r="134" spans="1:7" x14ac:dyDescent="0.2">
      <c r="A134" t="s">
        <v>233</v>
      </c>
      <c r="B134" s="32" t="s">
        <v>234</v>
      </c>
      <c r="C134" s="95">
        <f>'DOE25'!L262</f>
        <v>150234.37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646751.6399999999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30022.510000000002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-46401.239999999991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1895557.24</v>
      </c>
      <c r="D143" s="141">
        <f>SUM(D129:D142)</f>
        <v>0</v>
      </c>
      <c r="E143" s="141">
        <f>SUM(E129:E142)</f>
        <v>42892.01</v>
      </c>
      <c r="F143" s="141">
        <f>SUM(F129:F142)</f>
        <v>40145.949999999997</v>
      </c>
      <c r="G143" s="141">
        <f>SUM(G129:G142)</f>
        <v>385000</v>
      </c>
    </row>
    <row r="144" spans="1:7" ht="12.75" thickTop="1" thickBot="1" x14ac:dyDescent="0.25">
      <c r="A144" s="33" t="s">
        <v>244</v>
      </c>
      <c r="C144" s="86">
        <f>(C114+C127+C143)</f>
        <v>25395872.999999996</v>
      </c>
      <c r="D144" s="86">
        <f>(D114+D127+D143)</f>
        <v>756689.37</v>
      </c>
      <c r="E144" s="86">
        <f>(E114+E127+E143)</f>
        <v>1560973.89</v>
      </c>
      <c r="F144" s="86">
        <f>(F114+F127+F143)</f>
        <v>40145.949999999997</v>
      </c>
      <c r="G144" s="86">
        <f>(G114+G127+G143)</f>
        <v>385000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19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08/05</v>
      </c>
      <c r="C151" s="152" t="str">
        <f>'DOE25'!G490</f>
        <v>09/10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08/24</v>
      </c>
      <c r="C152" s="152" t="str">
        <f>'DOE25'!G491</f>
        <v>09/15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1911965</v>
      </c>
      <c r="C153" s="137">
        <f>'DOE25'!G492</f>
        <v>3042452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0.05</v>
      </c>
      <c r="C154" s="137">
        <f>'DOE25'!G493</f>
        <v>0.02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1400000</v>
      </c>
      <c r="C155" s="137">
        <f>'DOE25'!G494</f>
        <v>2433960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3833960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100000</v>
      </c>
      <c r="C157" s="137">
        <f>'DOE25'!G496</f>
        <v>608492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708492</v>
      </c>
    </row>
    <row r="158" spans="1:9" x14ac:dyDescent="0.2">
      <c r="A158" s="22" t="s">
        <v>35</v>
      </c>
      <c r="B158" s="137">
        <f>'DOE25'!F497</f>
        <v>1200000</v>
      </c>
      <c r="C158" s="137">
        <f>'DOE25'!G497</f>
        <v>1825468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3025468</v>
      </c>
    </row>
    <row r="159" spans="1:9" x14ac:dyDescent="0.2">
      <c r="A159" s="22" t="s">
        <v>36</v>
      </c>
      <c r="B159" s="137">
        <f>'DOE25'!F498</f>
        <v>312747.5</v>
      </c>
      <c r="C159" s="137">
        <f>'DOE25'!G498</f>
        <v>169243.57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481991.07</v>
      </c>
    </row>
    <row r="160" spans="1:9" x14ac:dyDescent="0.2">
      <c r="A160" s="22" t="s">
        <v>37</v>
      </c>
      <c r="B160" s="137">
        <f>'DOE25'!F499</f>
        <v>1512747.5</v>
      </c>
      <c r="C160" s="137">
        <f>'DOE25'!G499</f>
        <v>1994711.57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3507459.0700000003</v>
      </c>
    </row>
    <row r="161" spans="1:7" x14ac:dyDescent="0.2">
      <c r="A161" s="22" t="s">
        <v>38</v>
      </c>
      <c r="B161" s="137">
        <f>'DOE25'!F500</f>
        <v>100000</v>
      </c>
      <c r="C161" s="137">
        <f>'DOE25'!G500</f>
        <v>608492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708492</v>
      </c>
    </row>
    <row r="162" spans="1:7" x14ac:dyDescent="0.2">
      <c r="A162" s="22" t="s">
        <v>39</v>
      </c>
      <c r="B162" s="137">
        <f>'DOE25'!F501</f>
        <v>51265</v>
      </c>
      <c r="C162" s="137">
        <f>'DOE25'!G501</f>
        <v>70518.2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121783.2</v>
      </c>
    </row>
    <row r="163" spans="1:7" x14ac:dyDescent="0.2">
      <c r="A163" s="22" t="s">
        <v>246</v>
      </c>
      <c r="B163" s="137">
        <f>'DOE25'!F502</f>
        <v>151265</v>
      </c>
      <c r="C163" s="137">
        <f>'DOE25'!G502</f>
        <v>679010.2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830275.2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23" sqref="G2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FALL MOUNTAIN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15036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13754</v>
      </c>
    </row>
    <row r="7" spans="1:4" x14ac:dyDescent="0.2">
      <c r="B7" t="s">
        <v>705</v>
      </c>
      <c r="C7" s="179">
        <f>IF('DOE25'!I664+'DOE25'!I669=0,0,ROUND('DOE25'!I671,0))</f>
        <v>14598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9863380</v>
      </c>
      <c r="D10" s="182">
        <f>ROUND((C10/$C$28)*100,1)</f>
        <v>38.5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5291804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938667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402571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1477134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1032899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579826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1406899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316157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2496486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1212574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112171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480703.25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25611271.25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349145</v>
      </c>
    </row>
    <row r="30" spans="1:4" x14ac:dyDescent="0.2">
      <c r="B30" s="187" t="s">
        <v>729</v>
      </c>
      <c r="C30" s="180">
        <f>SUM(C28:C29)</f>
        <v>25960416.25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708490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12822839</v>
      </c>
      <c r="D35" s="182">
        <f t="shared" ref="D35:D40" si="1">ROUND((C35/$C$41)*100,1)</f>
        <v>46.7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333547.26999999955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11115598</v>
      </c>
      <c r="D37" s="182">
        <f t="shared" si="1"/>
        <v>40.5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1107621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2055259</v>
      </c>
      <c r="D39" s="182">
        <f t="shared" si="1"/>
        <v>7.5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27434864.27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P19" sqref="P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FALL MOUNTAIN REGIONAL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2013-10-16T16:19:41Z</cp:lastPrinted>
  <dcterms:created xsi:type="dcterms:W3CDTF">1997-12-04T19:04:30Z</dcterms:created>
  <dcterms:modified xsi:type="dcterms:W3CDTF">2013-12-05T18:40:10Z</dcterms:modified>
</cp:coreProperties>
</file>