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783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1" i="1" l="1"/>
  <c r="J467" i="1"/>
  <c r="B11" i="12" l="1"/>
  <c r="C39" i="12"/>
  <c r="B39" i="12"/>
  <c r="C19" i="12"/>
  <c r="C20" i="12"/>
  <c r="B19" i="12"/>
  <c r="B21" i="12"/>
  <c r="B20" i="12"/>
  <c r="C12" i="12"/>
  <c r="B12" i="12"/>
  <c r="D11" i="13"/>
  <c r="G522" i="1"/>
  <c r="G520" i="1"/>
  <c r="F522" i="1"/>
  <c r="F520" i="1"/>
  <c r="H577" i="1" l="1"/>
  <c r="F577" i="1"/>
  <c r="F501" i="1"/>
  <c r="H388" i="1" l="1"/>
  <c r="H389" i="1"/>
  <c r="F14" i="1" l="1"/>
  <c r="J603" i="1" l="1"/>
  <c r="H603" i="1"/>
  <c r="H202" i="1"/>
  <c r="H276" i="1"/>
  <c r="H282" i="1"/>
  <c r="F366" i="1" l="1"/>
  <c r="F367" i="1"/>
  <c r="H367" i="1"/>
  <c r="H366" i="1"/>
  <c r="I359" i="1"/>
  <c r="I357" i="1"/>
  <c r="H359" i="1"/>
  <c r="H357" i="1"/>
  <c r="G357" i="1"/>
  <c r="G359" i="1"/>
  <c r="F357" i="1"/>
  <c r="F359" i="1"/>
  <c r="G157" i="1"/>
  <c r="G96" i="1"/>
  <c r="H239" i="1"/>
  <c r="H203" i="1"/>
  <c r="H243" i="1"/>
  <c r="G243" i="1"/>
  <c r="F243" i="1"/>
  <c r="I243" i="1"/>
  <c r="I242" i="1"/>
  <c r="H242" i="1"/>
  <c r="F242" i="1"/>
  <c r="G240" i="1"/>
  <c r="F240" i="1"/>
  <c r="I238" i="1"/>
  <c r="H238" i="1"/>
  <c r="I237" i="1"/>
  <c r="H237" i="1"/>
  <c r="G237" i="1"/>
  <c r="F237" i="1"/>
  <c r="J237" i="1"/>
  <c r="I235" i="1"/>
  <c r="G235" i="1"/>
  <c r="F235" i="1"/>
  <c r="G233" i="1"/>
  <c r="F233" i="1"/>
  <c r="I233" i="1"/>
  <c r="H233" i="1"/>
  <c r="H232" i="1"/>
  <c r="G232" i="1"/>
  <c r="H207" i="1"/>
  <c r="G207" i="1"/>
  <c r="F207" i="1"/>
  <c r="I207" i="1"/>
  <c r="I206" i="1"/>
  <c r="H206" i="1"/>
  <c r="G206" i="1"/>
  <c r="F206" i="1"/>
  <c r="G204" i="1"/>
  <c r="F204" i="1"/>
  <c r="I202" i="1"/>
  <c r="I201" i="1"/>
  <c r="H201" i="1"/>
  <c r="G201" i="1"/>
  <c r="F201" i="1"/>
  <c r="I199" i="1"/>
  <c r="G199" i="1"/>
  <c r="F199" i="1"/>
  <c r="G197" i="1"/>
  <c r="F197" i="1"/>
  <c r="I197" i="1"/>
  <c r="H197" i="1"/>
  <c r="H196" i="1"/>
  <c r="G196" i="1"/>
  <c r="F232" i="1"/>
  <c r="F196" i="1"/>
  <c r="J206" i="1" l="1"/>
  <c r="I204" i="1"/>
  <c r="H204" i="1"/>
  <c r="G202" i="1"/>
  <c r="F202" i="1"/>
  <c r="H199" i="1"/>
  <c r="J197" i="1" l="1"/>
  <c r="J196" i="1"/>
  <c r="I196" i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C110" i="2" s="1"/>
  <c r="L217" i="1"/>
  <c r="L232" i="1"/>
  <c r="L233" i="1"/>
  <c r="L234" i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D17" i="13" s="1"/>
  <c r="C17" i="13" s="1"/>
  <c r="G17" i="13"/>
  <c r="L250" i="1"/>
  <c r="F18" i="13"/>
  <c r="D18" i="13" s="1"/>
  <c r="C18" i="13" s="1"/>
  <c r="G18" i="13"/>
  <c r="L251" i="1"/>
  <c r="F19" i="13"/>
  <c r="G19" i="13"/>
  <c r="D19" i="13" s="1"/>
  <c r="C19" i="13" s="1"/>
  <c r="L252" i="1"/>
  <c r="F29" i="13"/>
  <c r="G29" i="13"/>
  <c r="L357" i="1"/>
  <c r="L358" i="1"/>
  <c r="L359" i="1"/>
  <c r="G660" i="1" s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L260" i="1"/>
  <c r="C25" i="10" s="1"/>
  <c r="L340" i="1"/>
  <c r="H25" i="13" s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 s="1"/>
  <c r="G58" i="2"/>
  <c r="G60" i="2"/>
  <c r="G61" i="2" s="1"/>
  <c r="F2" i="11"/>
  <c r="L612" i="1"/>
  <c r="H662" i="1"/>
  <c r="L611" i="1"/>
  <c r="L610" i="1"/>
  <c r="F662" i="1"/>
  <c r="C40" i="10"/>
  <c r="F59" i="1"/>
  <c r="F111" i="1" s="1"/>
  <c r="G59" i="1"/>
  <c r="H59" i="1"/>
  <c r="I59" i="1"/>
  <c r="F78" i="1"/>
  <c r="F93" i="1"/>
  <c r="F110" i="1"/>
  <c r="G110" i="1"/>
  <c r="G111" i="1" s="1"/>
  <c r="H78" i="1"/>
  <c r="H93" i="1"/>
  <c r="E57" i="2" s="1"/>
  <c r="H110" i="1"/>
  <c r="I110" i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9" i="1" s="1"/>
  <c r="J135" i="1"/>
  <c r="F146" i="1"/>
  <c r="C84" i="2" s="1"/>
  <c r="F161" i="1"/>
  <c r="G146" i="1"/>
  <c r="G161" i="1"/>
  <c r="G168" i="1" s="1"/>
  <c r="H146" i="1"/>
  <c r="H161" i="1"/>
  <c r="H168" i="1" s="1"/>
  <c r="I146" i="1"/>
  <c r="I161" i="1"/>
  <c r="L249" i="1"/>
  <c r="L331" i="1"/>
  <c r="C23" i="10"/>
  <c r="L253" i="1"/>
  <c r="L267" i="1"/>
  <c r="C26" i="10" s="1"/>
  <c r="L268" i="1"/>
  <c r="C142" i="2" s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L522" i="1"/>
  <c r="F550" i="1" s="1"/>
  <c r="L525" i="1"/>
  <c r="G548" i="1" s="1"/>
  <c r="L526" i="1"/>
  <c r="G549" i="1"/>
  <c r="L527" i="1"/>
  <c r="G550" i="1" s="1"/>
  <c r="L530" i="1"/>
  <c r="H548" i="1"/>
  <c r="L531" i="1"/>
  <c r="H549" i="1"/>
  <c r="L532" i="1"/>
  <c r="H550" i="1"/>
  <c r="H551" i="1" s="1"/>
  <c r="L535" i="1"/>
  <c r="L536" i="1"/>
  <c r="I549" i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C17" i="2"/>
  <c r="D17" i="2"/>
  <c r="E17" i="2"/>
  <c r="F17" i="2"/>
  <c r="I444" i="1"/>
  <c r="J18" i="1"/>
  <c r="G17" i="2"/>
  <c r="C21" i="2"/>
  <c r="D21" i="2"/>
  <c r="E21" i="2"/>
  <c r="E31" i="2" s="1"/>
  <c r="F21" i="2"/>
  <c r="I447" i="1"/>
  <c r="J22" i="1"/>
  <c r="C22" i="2"/>
  <c r="D22" i="2"/>
  <c r="E22" i="2"/>
  <c r="F22" i="2"/>
  <c r="I448" i="1"/>
  <c r="J23" i="1" s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/>
  <c r="G42" i="2" s="1"/>
  <c r="I456" i="1"/>
  <c r="J37" i="1" s="1"/>
  <c r="G36" i="2" s="1"/>
  <c r="I458" i="1"/>
  <c r="J47" i="1"/>
  <c r="G46" i="2"/>
  <c r="C48" i="2"/>
  <c r="D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2" i="2"/>
  <c r="D114" i="2"/>
  <c r="F114" i="2"/>
  <c r="G114" i="2"/>
  <c r="E120" i="2"/>
  <c r="E124" i="2"/>
  <c r="F127" i="2"/>
  <c r="G127" i="2"/>
  <c r="C129" i="2"/>
  <c r="F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 s="1"/>
  <c r="E134" i="2"/>
  <c r="L263" i="1"/>
  <c r="C135" i="2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K499" i="1" s="1"/>
  <c r="B160" i="2"/>
  <c r="G499" i="1"/>
  <c r="C160" i="2" s="1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/>
  <c r="H502" i="1"/>
  <c r="D163" i="2"/>
  <c r="I502" i="1"/>
  <c r="E163" i="2" s="1"/>
  <c r="J502" i="1"/>
  <c r="F163" i="2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H51" i="1"/>
  <c r="H618" i="1"/>
  <c r="I50" i="1"/>
  <c r="F176" i="1"/>
  <c r="I176" i="1"/>
  <c r="F182" i="1"/>
  <c r="G182" i="1"/>
  <c r="H182" i="1"/>
  <c r="H191" i="1" s="1"/>
  <c r="I182" i="1"/>
  <c r="J182" i="1"/>
  <c r="G644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L336" i="1" s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F407" i="1"/>
  <c r="H642" i="1" s="1"/>
  <c r="J642" i="1" s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6" i="1" s="1"/>
  <c r="L424" i="1"/>
  <c r="L425" i="1"/>
  <c r="F426" i="1"/>
  <c r="G426" i="1"/>
  <c r="H426" i="1"/>
  <c r="H433" i="1" s="1"/>
  <c r="I426" i="1"/>
  <c r="J426" i="1"/>
  <c r="J433" i="1" s="1"/>
  <c r="L428" i="1"/>
  <c r="L432" i="1" s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H460" i="1" s="1"/>
  <c r="H640" i="1" s="1"/>
  <c r="J640" i="1" s="1"/>
  <c r="I451" i="1"/>
  <c r="F459" i="1"/>
  <c r="G459" i="1"/>
  <c r="H459" i="1"/>
  <c r="F460" i="1"/>
  <c r="H638" i="1" s="1"/>
  <c r="G460" i="1"/>
  <c r="H639" i="1" s="1"/>
  <c r="F469" i="1"/>
  <c r="G469" i="1"/>
  <c r="H469" i="1"/>
  <c r="I469" i="1"/>
  <c r="J469" i="1"/>
  <c r="F473" i="1"/>
  <c r="F475" i="1" s="1"/>
  <c r="H621" i="1" s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K544" i="1" s="1"/>
  <c r="F528" i="1"/>
  <c r="G528" i="1"/>
  <c r="H528" i="1"/>
  <c r="H544" i="1" s="1"/>
  <c r="I528" i="1"/>
  <c r="J528" i="1"/>
  <c r="J544" i="1" s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H570" i="1" s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G569" i="1"/>
  <c r="H569" i="1"/>
  <c r="I569" i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G642" i="1"/>
  <c r="G643" i="1"/>
  <c r="G651" i="1"/>
  <c r="J651" i="1" s="1"/>
  <c r="H651" i="1"/>
  <c r="G652" i="1"/>
  <c r="H652" i="1"/>
  <c r="G653" i="1"/>
  <c r="H653" i="1"/>
  <c r="H654" i="1"/>
  <c r="G159" i="2"/>
  <c r="F61" i="2"/>
  <c r="D80" i="2"/>
  <c r="I475" i="1"/>
  <c r="H624" i="1"/>
  <c r="H139" i="1"/>
  <c r="F22" i="13"/>
  <c r="C22" i="13" s="1"/>
  <c r="C25" i="13"/>
  <c r="G191" i="1"/>
  <c r="L308" i="1"/>
  <c r="I570" i="1"/>
  <c r="H33" i="13"/>
  <c r="C139" i="2"/>
  <c r="I191" i="1"/>
  <c r="J653" i="1"/>
  <c r="G21" i="2"/>
  <c r="C5" i="10"/>
  <c r="J475" i="1" l="1"/>
  <c r="H625" i="1" s="1"/>
  <c r="L269" i="1"/>
  <c r="J654" i="1"/>
  <c r="A40" i="12"/>
  <c r="A22" i="12"/>
  <c r="G551" i="1"/>
  <c r="G544" i="1"/>
  <c r="G570" i="1"/>
  <c r="L559" i="1"/>
  <c r="J551" i="1"/>
  <c r="F544" i="1"/>
  <c r="L564" i="1"/>
  <c r="L570" i="1" s="1"/>
  <c r="K502" i="1"/>
  <c r="G161" i="2"/>
  <c r="G157" i="2"/>
  <c r="F102" i="2"/>
  <c r="G80" i="2"/>
  <c r="D31" i="2"/>
  <c r="G163" i="2"/>
  <c r="G162" i="2"/>
  <c r="G158" i="2"/>
  <c r="F143" i="2"/>
  <c r="F144" i="2" s="1"/>
  <c r="G62" i="2"/>
  <c r="G103" i="2" s="1"/>
  <c r="E143" i="2"/>
  <c r="E77" i="2"/>
  <c r="E80" i="2" s="1"/>
  <c r="D90" i="2"/>
  <c r="F77" i="2"/>
  <c r="F80" i="2" s="1"/>
  <c r="E61" i="2"/>
  <c r="F49" i="2"/>
  <c r="F50" i="2" s="1"/>
  <c r="L392" i="1"/>
  <c r="C137" i="2" s="1"/>
  <c r="F191" i="1"/>
  <c r="E49" i="2"/>
  <c r="J618" i="1"/>
  <c r="F51" i="1"/>
  <c r="H616" i="1" s="1"/>
  <c r="J616" i="1" s="1"/>
  <c r="E90" i="2"/>
  <c r="C61" i="2"/>
  <c r="F139" i="1"/>
  <c r="C69" i="2"/>
  <c r="C55" i="2"/>
  <c r="J650" i="1"/>
  <c r="K597" i="1"/>
  <c r="G646" i="1" s="1"/>
  <c r="K337" i="1"/>
  <c r="K351" i="1" s="1"/>
  <c r="E118" i="2"/>
  <c r="H337" i="1"/>
  <c r="H351" i="1" s="1"/>
  <c r="E119" i="2"/>
  <c r="F337" i="1"/>
  <c r="F351" i="1" s="1"/>
  <c r="E123" i="2"/>
  <c r="I337" i="1"/>
  <c r="I351" i="1" s="1"/>
  <c r="J621" i="1"/>
  <c r="J191" i="1"/>
  <c r="J192" i="1"/>
  <c r="G630" i="1" s="1"/>
  <c r="J630" i="1" s="1"/>
  <c r="K604" i="1"/>
  <c r="G647" i="1" s="1"/>
  <c r="D49" i="2"/>
  <c r="D50" i="2" s="1"/>
  <c r="L361" i="1"/>
  <c r="C27" i="10" s="1"/>
  <c r="D29" i="13"/>
  <c r="C29" i="13" s="1"/>
  <c r="F660" i="1"/>
  <c r="G475" i="1"/>
  <c r="H622" i="1" s="1"/>
  <c r="J622" i="1" s="1"/>
  <c r="G192" i="1"/>
  <c r="G627" i="1" s="1"/>
  <c r="J627" i="1" s="1"/>
  <c r="D61" i="2"/>
  <c r="D62" i="2" s="1"/>
  <c r="D103" i="2" s="1"/>
  <c r="H661" i="1"/>
  <c r="C119" i="2"/>
  <c r="C124" i="2"/>
  <c r="C10" i="10"/>
  <c r="C20" i="10"/>
  <c r="C120" i="2"/>
  <c r="C11" i="10"/>
  <c r="L210" i="1"/>
  <c r="E16" i="13"/>
  <c r="C16" i="13" s="1"/>
  <c r="D12" i="13"/>
  <c r="C12" i="13" s="1"/>
  <c r="D6" i="13"/>
  <c r="C6" i="13" s="1"/>
  <c r="J256" i="1"/>
  <c r="J270" i="1" s="1"/>
  <c r="A31" i="12"/>
  <c r="K256" i="1"/>
  <c r="K270" i="1" s="1"/>
  <c r="I256" i="1"/>
  <c r="I270" i="1" s="1"/>
  <c r="C108" i="2"/>
  <c r="L246" i="1"/>
  <c r="H256" i="1"/>
  <c r="H270" i="1" s="1"/>
  <c r="F256" i="1"/>
  <c r="F270" i="1" s="1"/>
  <c r="J619" i="1"/>
  <c r="J644" i="1"/>
  <c r="J32" i="1"/>
  <c r="F549" i="1"/>
  <c r="K549" i="1" s="1"/>
  <c r="L523" i="1"/>
  <c r="J652" i="1"/>
  <c r="L418" i="1"/>
  <c r="L433" i="1" s="1"/>
  <c r="G637" i="1" s="1"/>
  <c r="J637" i="1" s="1"/>
  <c r="G337" i="1"/>
  <c r="G351" i="1" s="1"/>
  <c r="G624" i="1"/>
  <c r="J624" i="1" s="1"/>
  <c r="I51" i="1"/>
  <c r="H619" i="1" s="1"/>
  <c r="F31" i="2"/>
  <c r="K550" i="1"/>
  <c r="F551" i="1"/>
  <c r="E117" i="2"/>
  <c r="C117" i="2"/>
  <c r="C15" i="10"/>
  <c r="D5" i="13"/>
  <c r="C121" i="2"/>
  <c r="E13" i="13"/>
  <c r="C13" i="13" s="1"/>
  <c r="I544" i="1"/>
  <c r="G433" i="1"/>
  <c r="G144" i="2"/>
  <c r="C31" i="2"/>
  <c r="I445" i="1"/>
  <c r="G641" i="1" s="1"/>
  <c r="J17" i="1"/>
  <c r="I548" i="1"/>
  <c r="I551" i="1" s="1"/>
  <c r="L538" i="1"/>
  <c r="C19" i="10"/>
  <c r="G662" i="1"/>
  <c r="I662" i="1" s="1"/>
  <c r="L613" i="1"/>
  <c r="L400" i="1"/>
  <c r="A13" i="12"/>
  <c r="C29" i="10"/>
  <c r="J337" i="1"/>
  <c r="J351" i="1" s="1"/>
  <c r="F31" i="13"/>
  <c r="F33" i="13" s="1"/>
  <c r="C24" i="10"/>
  <c r="D14" i="13"/>
  <c r="C14" i="13" s="1"/>
  <c r="C122" i="2"/>
  <c r="G33" i="13"/>
  <c r="C109" i="2"/>
  <c r="L228" i="1"/>
  <c r="G659" i="1" s="1"/>
  <c r="J45" i="1"/>
  <c r="I459" i="1"/>
  <c r="I460" i="1" s="1"/>
  <c r="H641" i="1" s="1"/>
  <c r="J639" i="1"/>
  <c r="K570" i="1"/>
  <c r="G256" i="1"/>
  <c r="G270" i="1" s="1"/>
  <c r="G160" i="2"/>
  <c r="C49" i="2"/>
  <c r="C17" i="10"/>
  <c r="I111" i="1"/>
  <c r="I192" i="1" s="1"/>
  <c r="G629" i="1" s="1"/>
  <c r="J629" i="1" s="1"/>
  <c r="F55" i="2"/>
  <c r="F62" i="2" s="1"/>
  <c r="J643" i="1"/>
  <c r="C90" i="2"/>
  <c r="L381" i="1"/>
  <c r="G635" i="1" s="1"/>
  <c r="J635" i="1" s="1"/>
  <c r="L327" i="1"/>
  <c r="E122" i="2"/>
  <c r="E109" i="2"/>
  <c r="G649" i="1"/>
  <c r="J649" i="1" s="1"/>
  <c r="G661" i="1"/>
  <c r="D15" i="13"/>
  <c r="C15" i="13" s="1"/>
  <c r="C16" i="10"/>
  <c r="C118" i="2"/>
  <c r="C13" i="10"/>
  <c r="C35" i="10"/>
  <c r="F84" i="2"/>
  <c r="F90" i="2" s="1"/>
  <c r="I168" i="1"/>
  <c r="I433" i="1"/>
  <c r="E102" i="2"/>
  <c r="G22" i="2"/>
  <c r="G31" i="2" s="1"/>
  <c r="C18" i="2"/>
  <c r="E55" i="2"/>
  <c r="E62" i="2" s="1"/>
  <c r="H111" i="1"/>
  <c r="H192" i="1" s="1"/>
  <c r="G628" i="1" s="1"/>
  <c r="J628" i="1" s="1"/>
  <c r="D7" i="13"/>
  <c r="C7" i="13" s="1"/>
  <c r="L350" i="1"/>
  <c r="H646" i="1"/>
  <c r="J633" i="1"/>
  <c r="F570" i="1"/>
  <c r="L528" i="1"/>
  <c r="J638" i="1"/>
  <c r="G51" i="1"/>
  <c r="H617" i="1" s="1"/>
  <c r="J617" i="1" s="1"/>
  <c r="G155" i="2"/>
  <c r="C123" i="2"/>
  <c r="C102" i="2"/>
  <c r="C77" i="2"/>
  <c r="E50" i="2"/>
  <c r="F18" i="2"/>
  <c r="E18" i="2"/>
  <c r="D18" i="2"/>
  <c r="L543" i="1"/>
  <c r="F168" i="1"/>
  <c r="E121" i="2"/>
  <c r="L289" i="1"/>
  <c r="C113" i="2"/>
  <c r="C21" i="10"/>
  <c r="C18" i="10"/>
  <c r="C12" i="10"/>
  <c r="E8" i="13"/>
  <c r="F661" i="1"/>
  <c r="E108" i="2"/>
  <c r="H660" i="1"/>
  <c r="G648" i="1"/>
  <c r="J648" i="1" s="1"/>
  <c r="D126" i="2"/>
  <c r="D127" i="2" s="1"/>
  <c r="D144" i="2" s="1"/>
  <c r="K548" i="1" l="1"/>
  <c r="K551" i="1" s="1"/>
  <c r="G645" i="1"/>
  <c r="C62" i="2"/>
  <c r="E103" i="2"/>
  <c r="C50" i="2"/>
  <c r="F192" i="1"/>
  <c r="G626" i="1" s="1"/>
  <c r="J626" i="1" s="1"/>
  <c r="C38" i="10"/>
  <c r="C80" i="2"/>
  <c r="C103" i="2" s="1"/>
  <c r="J646" i="1"/>
  <c r="G634" i="1"/>
  <c r="J634" i="1" s="1"/>
  <c r="I660" i="1"/>
  <c r="I661" i="1"/>
  <c r="L256" i="1"/>
  <c r="L270" i="1" s="1"/>
  <c r="G631" i="1" s="1"/>
  <c r="J631" i="1" s="1"/>
  <c r="C28" i="10"/>
  <c r="C30" i="10" s="1"/>
  <c r="H659" i="1"/>
  <c r="H663" i="1" s="1"/>
  <c r="H666" i="1" s="1"/>
  <c r="C127" i="2"/>
  <c r="E114" i="2"/>
  <c r="H647" i="1"/>
  <c r="J647" i="1" s="1"/>
  <c r="G663" i="1"/>
  <c r="G16" i="2"/>
  <c r="G18" i="2" s="1"/>
  <c r="J19" i="1"/>
  <c r="G620" i="1" s="1"/>
  <c r="L544" i="1"/>
  <c r="E33" i="13"/>
  <c r="D35" i="13" s="1"/>
  <c r="C8" i="13"/>
  <c r="C39" i="10"/>
  <c r="C114" i="2"/>
  <c r="J641" i="1"/>
  <c r="C5" i="13"/>
  <c r="F103" i="2"/>
  <c r="C138" i="2"/>
  <c r="L407" i="1"/>
  <c r="E127" i="2"/>
  <c r="C36" i="10"/>
  <c r="L337" i="1"/>
  <c r="L351" i="1" s="1"/>
  <c r="G632" i="1" s="1"/>
  <c r="J632" i="1" s="1"/>
  <c r="D31" i="13"/>
  <c r="C31" i="13" s="1"/>
  <c r="G44" i="2"/>
  <c r="G49" i="2" s="1"/>
  <c r="G50" i="2" s="1"/>
  <c r="J50" i="1"/>
  <c r="F659" i="1"/>
  <c r="D21" i="10" l="1"/>
  <c r="D16" i="10"/>
  <c r="D15" i="10"/>
  <c r="D27" i="10"/>
  <c r="D25" i="10"/>
  <c r="D17" i="10"/>
  <c r="D11" i="10"/>
  <c r="D24" i="10"/>
  <c r="D20" i="10"/>
  <c r="D10" i="10"/>
  <c r="D19" i="10"/>
  <c r="D12" i="10"/>
  <c r="D26" i="10"/>
  <c r="D13" i="10"/>
  <c r="D18" i="10"/>
  <c r="D22" i="10"/>
  <c r="D23" i="10"/>
  <c r="H671" i="1"/>
  <c r="C6" i="10" s="1"/>
  <c r="G666" i="1"/>
  <c r="G671" i="1"/>
  <c r="G636" i="1"/>
  <c r="J636" i="1" s="1"/>
  <c r="H645" i="1"/>
  <c r="J645" i="1" s="1"/>
  <c r="C140" i="2"/>
  <c r="C143" i="2" s="1"/>
  <c r="C144" i="2" s="1"/>
  <c r="F663" i="1"/>
  <c r="I659" i="1"/>
  <c r="I663" i="1" s="1"/>
  <c r="E144" i="2"/>
  <c r="J51" i="1"/>
  <c r="H620" i="1" s="1"/>
  <c r="J620" i="1" s="1"/>
  <c r="G625" i="1"/>
  <c r="J625" i="1" s="1"/>
  <c r="C41" i="10"/>
  <c r="D36" i="10" s="1"/>
  <c r="D33" i="13"/>
  <c r="D36" i="13" s="1"/>
  <c r="H655" i="1" l="1"/>
  <c r="D39" i="10"/>
  <c r="D28" i="10"/>
  <c r="I671" i="1"/>
  <c r="C7" i="10" s="1"/>
  <c r="I666" i="1"/>
  <c r="F666" i="1"/>
  <c r="F671" i="1"/>
  <c r="C4" i="10" s="1"/>
  <c r="D40" i="10"/>
  <c r="D37" i="10"/>
  <c r="D38" i="10"/>
  <c r="D35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<sst xmlns="http://schemas.openxmlformats.org/spreadsheetml/2006/main" count="3949" uniqueCount="915">
  <si>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</si>
  <si>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</si>
  <si>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</si>
  <si>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</si>
  <si>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</si>
  <si>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</si>
  <si>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</si>
  <si>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</si>
  <si>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</si>
  <si>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</si>
  <si>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</si>
  <si>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</si>
  <si>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</si>
  <si>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</si>
  <si>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</si>
  <si>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</si>
  <si>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</si>
  <si>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</si>
  <si>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</si>
  <si>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</si>
  <si>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</si>
  <si>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</si>
  <si>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</si>
  <si>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</si>
  <si>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</si>
  <si>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</si>
  <si>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</si>
  <si>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</si>
  <si>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</si>
  <si>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</si>
  <si>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</si>
  <si>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</si>
  <si>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</si>
  <si>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</si>
  <si>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</si>
  <si>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</si>
  <si>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</si>
  <si>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</si>
  <si>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</si>
  <si>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</si>
  <si>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</si>
  <si>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</si>
  <si>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</si>
  <si>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</si>
  <si>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</si>
  <si>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</si>
  <si>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</si>
  <si>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</si>
  <si>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</si>
  <si>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</si>
  <si>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</si>
  <si>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</si>
  <si>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</si>
  <si>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</si>
  <si>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</si>
  <si>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</si>
  <si>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</si>
  <si>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</si>
  <si>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</si>
  <si>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</si>
  <si>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</si>
  <si>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</si>
  <si>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</si>
  <si>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</si>
  <si>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</si>
  <si>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</si>
  <si>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</si>
  <si>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</si>
  <si>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</si>
  <si>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</si>
  <si>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</si>
  <si>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</si>
  <si>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</si>
  <si>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</si>
  <si>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</si>
  <si>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</si>
  <si>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</si>
  <si>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</si>
  <si>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</si>
  <si>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</si>
  <si>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</si>
  <si>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</si>
  <si>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</si>
  <si>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</si>
  <si>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</si>
  <si>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</si>
  <si>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</si>
  <si>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</si>
  <si>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</si>
  <si>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</si>
  <si>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</si>
  <si>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</si>
  <si>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</si>
  <si>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</si>
  <si>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</si>
  <si>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</si>
  <si>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</si>
  <si>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</si>
  <si>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</si>
  <si>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</si>
  <si>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</si>
  <si>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</si>
  <si>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</si>
  <si>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</si>
  <si>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</si>
  <si>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</si>
  <si>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</si>
  <si>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</si>
  <si>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</si>
  <si>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</si>
  <si>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</si>
  <si>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</si>
  <si>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</si>
  <si>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</si>
  <si>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</si>
  <si>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</si>
  <si>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</si>
  <si>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</si>
  <si>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</si>
  <si>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</si>
  <si>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</si>
  <si>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</si>
  <si>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</si>
  <si>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</si>
  <si>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</si>
  <si>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</si>
  <si>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</si>
  <si>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</si>
  <si>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</si>
  <si>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</si>
  <si>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</si>
  <si>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</si>
  <si>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</si>
  <si>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</si>
  <si>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</si>
  <si>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</si>
  <si>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</si>
  <si>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</si>
  <si>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</si>
  <si>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</si>
  <si>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</si>
  <si>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</si>
  <si>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</si>
  <si>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</si>
  <si>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</si>
  <si>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</si>
  <si>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</si>
  <si>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</si>
  <si>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</si>
  <si>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</si>
  <si>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</si>
  <si>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</si>
  <si>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</si>
  <si>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</si>
  <si>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</si>
  <si>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</si>
  <si>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</si>
  <si>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</si>
  <si>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</si>
  <si>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</si>
  <si>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</si>
  <si>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</si>
  <si>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</si>
  <si>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</si>
  <si>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</si>
  <si>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</si>
  <si>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</si>
  <si>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</si>
  <si>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</si>
  <si>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</si>
  <si>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</si>
  <si>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</si>
  <si>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</si>
  <si>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</si>
  <si>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</si>
  <si>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</si>
  <si>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</si>
  <si>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</si>
  <si>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</si>
  <si>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</si>
  <si>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</si>
  <si>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</si>
  <si>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</si>
  <si>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</si>
  <si>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</si>
  <si>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</si>
  <si>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</si>
  <si>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</si>
  <si>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</si>
  <si>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</si>
  <si>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</si>
  <si>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</si>
  <si>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</si>
  <si>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</si>
  <si>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</si>
  <si>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</si>
  <si>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</si>
  <si>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</si>
  <si>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</si>
  <si>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</si>
  <si>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</si>
  <si>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</si>
  <si>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</si>
  <si>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</si>
  <si>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</si>
  <si>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</si>
  <si>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</si>
  <si>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</si>
  <si>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</si>
  <si>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</si>
  <si>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</si>
  <si>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</si>
  <si>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</si>
  <si>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</si>
  <si>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</si>
  <si>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</si>
  <si>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</si>
  <si>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</si>
  <si>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</si>
  <si>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</si>
  <si>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</si>
  <si>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</si>
  <si>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</si>
  <si>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</si>
  <si>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</si>
  <si>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</si>
  <si>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</si>
  <si>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</si>
  <si>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</si>
  <si>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</si>
  <si>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</si>
  <si>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</si>
  <si>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</si>
  <si>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</si>
  <si>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</si>
  <si>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</si>
  <si>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</si>
  <si>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</si>
  <si>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</si>
  <si>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</si>
  <si>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</si>
  <si>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</si>
  <si>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</si>
  <si>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</si>
  <si>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</si>
  <si>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</si>
  <si>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</si>
  <si>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</si>
  <si>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</si>
  <si>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</si>
  <si>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</si>
  <si>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</si>
  <si>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</si>
  <si>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</si>
  <si>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</si>
  <si>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</si>
  <si>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</si>
  <si>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</si>
  <si>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</si>
  <si>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</si>
  <si>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</si>
  <si>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</si>
  <si>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</si>
  <si>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</si>
  <si>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</si>
  <si>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</si>
  <si>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</si>
  <si>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</si>
  <si>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</si>
  <si>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</si>
  <si>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</si>
  <si>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</si>
  <si>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</si>
  <si>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</si>
  <si>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</si>
  <si>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</si>
  <si>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</si>
  <si>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</si>
  <si>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</si>
  <si>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</si>
  <si>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</si>
  <si>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</si>
  <si>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</si>
  <si>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</si>
  <si>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</si>
  <si>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</si>
  <si>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</si>
  <si>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</si>
  <si>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</si>
  <si>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</si>
  <si>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</si>
  <si>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</si>
  <si>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</si>
  <si>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</si>
  <si>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</si>
  <si>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</si>
  <si>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</si>
  <si>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</si>
  <si>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</si>
  <si>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</si>
  <si>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</si>
  <si>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</si>
  <si>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</si>
  <si>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</si>
  <si>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</si>
  <si>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</si>
  <si>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</si>
  <si>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</si>
  <si>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</si>
  <si>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</si>
  <si>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</si>
  <si>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</si>
  <si>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</si>
  <si>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</si>
  <si>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</si>
  <si>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</si>
  <si>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</si>
  <si>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</si>
  <si>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</si>
  <si>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</si>
  <si>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</si>
  <si>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</si>
  <si>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</si>
  <si>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</si>
  <si>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</si>
  <si>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</si>
  <si>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</si>
  <si>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</si>
  <si>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</si>
  <si>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</si>
  <si>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</si>
  <si>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</si>
  <si>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</si>
  <si>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</si>
  <si>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</si>
  <si>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</si>
  <si>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</si>
  <si>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</si>
  <si>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</si>
  <si>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</si>
  <si>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</si>
  <si>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</si>
  <si>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</si>
  <si>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</si>
  <si>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</si>
  <si>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</si>
  <si>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</si>
  <si>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</si>
  <si>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</si>
  <si>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</si>
  <si>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</si>
  <si>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</si>
  <si>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</si>
  <si>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</si>
  <si>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</si>
  <si>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</si>
  <si>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</si>
  <si>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</si>
  <si>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</si>
  <si>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</si>
  <si>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</si>
  <si>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</si>
  <si>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</si>
  <si>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</si>
  <si>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</si>
  <si>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</si>
  <si>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</si>
  <si>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</si>
  <si>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</si>
  <si>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</si>
  <si>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</si>
  <si>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</si>
  <si>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</si>
  <si>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</si>
  <si>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</si>
  <si>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</si>
  <si>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</si>
  <si>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</si>
  <si>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</si>
  <si>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</si>
  <si>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</si>
  <si>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</si>
  <si>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</si>
  <si>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</si>
  <si>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</si>
  <si>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</si>
  <si>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</si>
  <si>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</si>
  <si>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</si>
  <si>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</si>
  <si>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</si>
  <si>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</si>
  <si>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</si>
  <si>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</si>
  <si>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</si>
  <si>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</si>
  <si>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</si>
  <si>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</si>
  <si>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</si>
  <si>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</si>
  <si>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</si>
  <si>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</si>
  <si>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</si>
  <si>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</si>
  <si>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</si>
  <si>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</si>
  <si>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</si>
  <si>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</si>
  <si>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</si>
  <si>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</si>
  <si>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</si>
  <si>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</si>
  <si>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</si>
  <si>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</si>
  <si>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</si>
  <si>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</si>
  <si>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</si>
  <si>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</si>
  <si>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</si>
  <si>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</si>
  <si>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</si>
  <si>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</si>
  <si>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</si>
  <si>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</si>
  <si>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</si>
  <si>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</si>
  <si>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</si>
  <si>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</si>
  <si>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</si>
  <si>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</si>
  <si>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</si>
  <si>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</si>
  <si>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</si>
  <si>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</si>
  <si>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</si>
  <si>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</si>
  <si>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</si>
  <si>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</si>
  <si>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</si>
  <si>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</si>
  <si>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</si>
  <si>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</si>
  <si>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</si>
  <si>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</si>
  <si>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</si>
  <si>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</si>
  <si>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</si>
  <si>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</si>
  <si>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</si>
  <si>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</si>
  <si>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</si>
  <si>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</si>
  <si>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</si>
  <si>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</si>
  <si>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</si>
  <si>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</si>
  <si>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</si>
  <si>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</si>
  <si>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</si>
  <si>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</si>
  <si>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</si>
  <si>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</si>
  <si>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</si>
  <si>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</si>
  <si>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</si>
  <si>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</si>
  <si>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</si>
  <si>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</si>
  <si>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</si>
  <si>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</si>
  <si>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</si>
  <si>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</si>
  <si>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</si>
  <si>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</si>
  <si>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</si>
  <si>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</si>
  <si>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</si>
  <si>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</si>
  <si>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</si>
  <si>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</si>
  <si>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</si>
  <si>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</si>
  <si>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</si>
  <si>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</si>
  <si>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</si>
  <si>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</si>
  <si>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</si>
  <si>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</si>
  <si>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</si>
  <si>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</si>
  <si>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</si>
  <si>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</si>
  <si>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</si>
  <si>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</si>
  <si>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</si>
  <si>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</si>
  <si>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</si>
  <si>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</si>
  <si>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</si>
  <si>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</si>
  <si>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</si>
  <si>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</si>
  <si>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</si>
  <si>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</si>
  <si>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</si>
  <si>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</si>
  <si>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</si>
  <si>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</si>
  <si>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</si>
  <si>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</si>
  <si>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</si>
  <si>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</si>
  <si>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</si>
  <si>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</si>
  <si>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</si>
  <si>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</si>
  <si>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</si>
  <si>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</si>
  <si>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</si>
  <si>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</si>
  <si>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</si>
  <si>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</si>
  <si>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</si>
  <si>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</si>
  <si>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</si>
  <si>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</si>
  <si>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</si>
  <si>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</si>
  <si>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</si>
  <si>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</si>
  <si>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</si>
  <si>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</si>
  <si>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</si>
  <si>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</si>
  <si>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</si>
  <si>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</si>
  <si>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</si>
  <si>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</si>
  <si>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</si>
  <si>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</si>
  <si>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</si>
  <si>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</si>
  <si>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</si>
  <si>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</si>
  <si>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</si>
  <si>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</si>
  <si>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</si>
  <si>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</si>
  <si>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</si>
  <si>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</si>
  <si>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</si>
  <si>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</si>
  <si>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</si>
  <si>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</si>
  <si>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</si>
  <si>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</si>
  <si>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</si>
  <si>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</si>
  <si>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</si>
  <si>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</si>
  <si>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</si>
  <si>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</si>
  <si>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</si>
  <si>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</si>
  <si>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</si>
  <si>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</si>
  <si>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</si>
  <si>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</si>
  <si>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</si>
  <si>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</si>
  <si>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</si>
  <si>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</si>
  <si>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</si>
  <si>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</si>
  <si>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</si>
  <si>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</si>
  <si>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</si>
  <si>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</si>
  <si>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</si>
  <si>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</si>
  <si>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</si>
  <si>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</si>
  <si>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</si>
  <si>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</si>
  <si>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</si>
  <si>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</si>
  <si>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</si>
  <si>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</si>
  <si>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</si>
  <si>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</si>
  <si>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</si>
  <si>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</si>
  <si>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</si>
  <si>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</si>
  <si>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</si>
  <si>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</si>
  <si>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</si>
  <si>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</si>
  <si>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</si>
  <si>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</si>
  <si>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</si>
  <si>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</si>
  <si>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</si>
  <si>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</si>
  <si>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</si>
  <si>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</si>
  <si>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</si>
  <si>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</si>
  <si>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</si>
  <si>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</si>
  <si>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</si>
  <si>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</si>
  <si>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</si>
  <si>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</si>
  <si>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</si>
  <si>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</si>
  <si>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</si>
  <si>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</si>
  <si>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</si>
  <si>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</si>
  <si>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</si>
  <si>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</si>
  <si>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</si>
  <si>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</si>
  <si>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</si>
  <si>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</si>
  <si>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</si>
  <si>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</si>
  <si>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</si>
  <si>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</si>
  <si>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</si>
  <si>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</si>
  <si>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</si>
  <si>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</si>
  <si>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</si>
  <si>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</si>
  <si>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</si>
  <si>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</si>
  <si>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</si>
  <si>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</si>
  <si>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</si>
  <si>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</si>
  <si>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</si>
  <si>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</si>
  <si>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</si>
  <si>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</si>
  <si>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</si>
  <si>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</si>
  <si>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</si>
  <si>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</si>
  <si>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</si>
  <si>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</si>
  <si>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</si>
  <si>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</si>
  <si>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</si>
  <si>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</si>
  <si>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</si>
  <si>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</si>
  <si>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</si>
  <si>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</si>
  <si>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</si>
  <si>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</si>
  <si>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</si>
  <si>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</si>
  <si>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</si>
  <si>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</si>
  <si>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</si>
  <si>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</si>
  <si>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</si>
  <si>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</si>
  <si>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</si>
  <si>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</si>
  <si>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</si>
  <si>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</si>
  <si>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</si>
  <si>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</si>
  <si>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</si>
  <si>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</si>
  <si>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</si>
  <si>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</si>
  <si>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</si>
  <si>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</si>
  <si>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</si>
  <si>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</si>
  <si>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</si>
  <si>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</si>
  <si>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</si>
  <si>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</si>
  <si>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</si>
  <si>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</si>
  <si>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</si>
  <si>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</si>
  <si>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</si>
  <si>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</si>
  <si>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</si>
  <si>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</si>
  <si>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</si>
  <si>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</si>
  <si>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</si>
  <si>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</si>
  <si>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</si>
  <si>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</si>
  <si>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</si>
  <si>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</si>
  <si>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</si>
  <si>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</si>
  <si>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</si>
  <si>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</si>
  <si>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</si>
  <si>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</si>
  <si>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</si>
  <si>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</si>
  <si>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</si>
  <si>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</si>
  <si>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</si>
  <si>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</si>
  <si>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</si>
  <si>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</si>
  <si>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</si>
  <si>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</si>
  <si>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</si>
  <si>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</si>
  <si>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</si>
  <si>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</si>
  <si>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</si>
  <si>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</si>
  <si>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</si>
  <si>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</si>
  <si>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</si>
  <si>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</si>
  <si>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</si>
  <si>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</si>
  <si>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</si>
  <si>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</si>
  <si>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</si>
  <si>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</si>
  <si>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</si>
  <si>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</si>
  <si>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</si>
  <si>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</si>
  <si>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</si>
  <si>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</si>
  <si>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</si>
  <si>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</si>
  <si>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</si>
  <si>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</si>
  <si>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</si>
  <si>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</si>
  <si>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</si>
  <si>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</si>
  <si>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</si>
  <si>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</si>
  <si>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</si>
  <si>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</si>
  <si>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</si>
  <si>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</si>
  <si>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</si>
  <si>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</si>
  <si>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</si>
  <si>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</si>
  <si>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</si>
  <si>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</si>
  <si>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</si>
  <si>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</si>
  <si>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</si>
  <si>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</si>
  <si>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</si>
  <si>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</si>
  <si>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</si>
  <si>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</si>
  <si>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</si>
  <si>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</si>
  <si>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</si>
  <si>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</si>
  <si>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</si>
  <si>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</si>
  <si>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</si>
  <si>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</si>
  <si>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</si>
  <si>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</si>
  <si>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</si>
  <si>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</si>
  <si>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</si>
  <si>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</si>
  <si>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</si>
  <si>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</si>
  <si>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</si>
  <si>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</si>
  <si>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</si>
  <si>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</si>
  <si>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</si>
  <si>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</si>
  <si>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</si>
  <si>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</si>
  <si>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</si>
  <si>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</si>
  <si>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</si>
  <si>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</si>
  <si>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</si>
  <si>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</si>
  <si>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</si>
  <si>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</si>
  <si>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</si>
  <si>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</si>
  <si>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</si>
  <si>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</si>
  <si>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</si>
  <si>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</si>
  <si>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</si>
  <si>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</si>
  <si>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</si>
  <si>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</si>
  <si>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</si>
  <si>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</si>
  <si>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</si>
  <si>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</si>
  <si>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</si>
  <si>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</si>
  <si>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</si>
  <si>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</si>
  <si>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</si>
  <si>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</si>
  <si>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</si>
  <si>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</si>
  <si>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</si>
  <si>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</si>
  <si>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</si>
  <si>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</si>
  <si>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</si>
  <si>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</si>
  <si>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</si>
  <si>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</si>
  <si>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</si>
  <si>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</si>
  <si>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</si>
  <si>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</si>
  <si>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</si>
  <si>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</si>
  <si>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</si>
  <si>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</si>
  <si>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</si>
  <si>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</si>
  <si>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</si>
  <si>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</si>
  <si>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</si>
  <si>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</si>
  <si>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</si>
  <si>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</si>
  <si>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</si>
  <si>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</si>
  <si>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</si>
  <si>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</si>
  <si>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</si>
  <si>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</si>
  <si>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</si>
  <si>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</si>
  <si>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</si>
  <si>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</si>
  <si>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</si>
  <si>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</si>
  <si>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</si>
  <si>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</si>
  <si>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</si>
  <si>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</si>
  <si>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</si>
  <si>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</si>
  <si>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</si>
  <si>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</si>
  <si>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</si>
  <si>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</si>
  <si>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</si>
  <si>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</si>
  <si>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</si>
  <si>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</si>
  <si>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</si>
  <si>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</si>
  <si>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</si>
  <si>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</si>
  <si>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</si>
  <si>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</si>
  <si>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</si>
  <si>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</si>
  <si>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</si>
  <si>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</si>
  <si>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</si>
  <si>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</si>
  <si>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</si>
  <si>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</si>
  <si>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</si>
  <si>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</si>
  <si>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</si>
  <si>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</si>
  <si>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</si>
  <si>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</si>
  <si>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</si>
  <si>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</si>
  <si>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</si>
  <si>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</si>
  <si>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</si>
  <si>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</si>
  <si>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</si>
  <si>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</si>
  <si>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</si>
  <si>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</si>
  <si>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</si>
  <si>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</si>
  <si>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</si>
  <si>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</si>
  <si>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</si>
  <si>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Activity not reported in FY11-12 DOE25</t>
  </si>
  <si>
    <t>Auditors AJE's not previously recorded</t>
  </si>
  <si>
    <t>2/2013</t>
  </si>
  <si>
    <t>08/01/2018</t>
  </si>
  <si>
    <t>Audit AJE's not recorded until FYE 2013 for PY accrued payroll</t>
  </si>
  <si>
    <t>FARMINGTON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</si>
</sst>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914</v>
      </c>
      <c r="B2" s="21">
        <v>175</v>
      </c>
      <c r="C2" s="21">
        <v>175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1195318.3700000001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591146.97</v>
      </c>
      <c r="G12" s="18"/>
      <c r="H12" s="18"/>
      <c r="I12" s="18"/>
      <c r="J12" s="67">
        <f>SUM(I440)</f>
        <v>100000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1103964.5900000001</v>
      </c>
      <c r="G13" s="18"/>
      <c r="H13" s="18">
        <v>33700.129999999997</v>
      </c>
      <c r="I13" s="18"/>
      <c r="J13" s="67">
        <f>SUM(I441)</f>
        <v>1719666.72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34135.96+1340.22</f>
        <v>35476.18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>
        <v>43.06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2925906.1100000003</v>
      </c>
      <c r="G19" s="41">
        <f>SUM(G9:G18)</f>
        <v>43.06</v>
      </c>
      <c r="H19" s="41">
        <f>SUM(H9:H18)</f>
        <v>33700.129999999997</v>
      </c>
      <c r="I19" s="41">
        <f>SUM(I9:I18)</f>
        <v>0</v>
      </c>
      <c r="J19" s="41">
        <f>SUM(J9:J18)</f>
        <v>1819666.72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395972.16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658781.14</v>
      </c>
      <c r="G28" s="18"/>
      <c r="H28" s="18">
        <v>33700.129999999997</v>
      </c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422612.5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1477365.8</v>
      </c>
      <c r="G32" s="41">
        <f>SUM(G22:G31)</f>
        <v>0</v>
      </c>
      <c r="H32" s="41">
        <f>SUM(H22:H31)</f>
        <v>33700.129999999997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>
        <v>43.06</v>
      </c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1819666.72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161273.07999999999</v>
      </c>
      <c r="G48" s="18"/>
      <c r="H48" s="18"/>
      <c r="I48" s="18"/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1137267.23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1448540.31</v>
      </c>
      <c r="G50" s="41">
        <f>SUM(G35:G49)</f>
        <v>43.06</v>
      </c>
      <c r="H50" s="41">
        <f>SUM(H35:H49)</f>
        <v>0</v>
      </c>
      <c r="I50" s="41">
        <f>SUM(I35:I49)</f>
        <v>0</v>
      </c>
      <c r="J50" s="41">
        <f>SUM(J35:J49)</f>
        <v>1819666.72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2925906.1100000003</v>
      </c>
      <c r="G51" s="41">
        <f>G50+G32</f>
        <v>43.06</v>
      </c>
      <c r="H51" s="41">
        <f>H50+H32</f>
        <v>33700.129999999997</v>
      </c>
      <c r="I51" s="41">
        <f>I50+I32</f>
        <v>0</v>
      </c>
      <c r="J51" s="41">
        <f>J50+J32</f>
        <v>1819666.72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4670939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4670939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2962778.58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2962778.58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9148.65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9148.65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1216</v>
      </c>
      <c r="G95" s="18"/>
      <c r="H95" s="18"/>
      <c r="I95" s="18"/>
      <c r="J95" s="18">
        <v>2129.35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34819.15+62499.53+56919.68</f>
        <v>154238.35999999999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14440.03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v>3257.24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37696.79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979.96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12770.84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67278.62</v>
      </c>
      <c r="G110" s="41">
        <f>SUM(G95:G109)</f>
        <v>157495.59999999998</v>
      </c>
      <c r="H110" s="41">
        <f>SUM(H95:H109)</f>
        <v>0</v>
      </c>
      <c r="I110" s="41">
        <f>SUM(I95:I109)</f>
        <v>0</v>
      </c>
      <c r="J110" s="41">
        <f>SUM(J95:J109)</f>
        <v>2129.35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7710144.8500000006</v>
      </c>
      <c r="G111" s="41">
        <f>G59+G110</f>
        <v>157495.59999999998</v>
      </c>
      <c r="H111" s="41">
        <f>H59+H78+H93+H110</f>
        <v>0</v>
      </c>
      <c r="I111" s="41">
        <f>I59+I110</f>
        <v>0</v>
      </c>
      <c r="J111" s="41">
        <f>J59+J110</f>
        <v>2129.35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6838255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1014518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7852773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154981.91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10808.83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6844.68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165790.74</v>
      </c>
      <c r="G135" s="41">
        <f>SUM(G122:G134)</f>
        <v>6844.68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8018563.7400000002</v>
      </c>
      <c r="G139" s="41">
        <f>G120+SUM(G135:G136)</f>
        <v>6844.68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83681.100000000006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83681.100000000006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>
        <v>162842.93</v>
      </c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898572.55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63684.9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267339.68</f>
        <v>267339.68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349172.73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126714.99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48976.2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126714.99</v>
      </c>
      <c r="G161" s="41">
        <f>SUM(G149:G160)</f>
        <v>316315.88</v>
      </c>
      <c r="H161" s="41">
        <f>SUM(H149:H160)</f>
        <v>1474273.1099999999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210396.09000000003</v>
      </c>
      <c r="G168" s="41">
        <f>G146+G161+SUM(G162:G167)</f>
        <v>316315.88</v>
      </c>
      <c r="H168" s="41">
        <f>H146+H161+SUM(H162:H167)</f>
        <v>1474273.1099999999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76280.009999999995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76280.009999999995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76280.009999999995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15939104.68</v>
      </c>
      <c r="G192" s="47">
        <f>G111+G139+G168+G191</f>
        <v>556936.16999999993</v>
      </c>
      <c r="H192" s="47">
        <f>H111+H139+H168+H191</f>
        <v>1474273.1099999999</v>
      </c>
      <c r="I192" s="47">
        <f>I111+I139+I168+I191</f>
        <v>0</v>
      </c>
      <c r="J192" s="47">
        <f>J111+J139+J191</f>
        <v>102129.35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2244407.96+217.5+17621.76+37497.38+23821.55</f>
        <v>2323566.1499999994</v>
      </c>
      <c r="G196" s="18">
        <f>420618.76+15536.35+164283.82+61.3+255767.65-124.52+9891.81+3861.53</f>
        <v>869896.70000000007</v>
      </c>
      <c r="H196" s="18">
        <f>8313.11+14853.96+26493.5+38414.34+3105</f>
        <v>91179.91</v>
      </c>
      <c r="I196" s="18">
        <f>3198.77+1392.84+1121.48+836.3+1981.37+2123.83+890.52+2921.14+3495.23+2978.1+1908.37+33888.37+251.37+476.45</f>
        <v>57464.14</v>
      </c>
      <c r="J196" s="18">
        <f>664.56+888.99+876.7</f>
        <v>2430.25</v>
      </c>
      <c r="K196" s="18">
        <v>0</v>
      </c>
      <c r="L196" s="19">
        <f>SUM(F196:K196)</f>
        <v>3344537.15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549607.87+10992+1536+1408+40505.57+1205.25+893145.57+11860.5+727.5+877.5+38996.18+18155+348.73+17996.33</f>
        <v>1587361.9999999998</v>
      </c>
      <c r="G197" s="18">
        <f>153413.13+3587.21+114071.96+11007.76+70302.39+1089.98+6946.57+332.75+3331.93</f>
        <v>364083.68</v>
      </c>
      <c r="H197" s="18">
        <f>21984+318.95+1908.74+700+533117.95+705.54+62063.27</f>
        <v>620798.44999999995</v>
      </c>
      <c r="I197" s="18">
        <f>3431.71+537.21+5310.38+667.35+566.84</f>
        <v>10513.49</v>
      </c>
      <c r="J197" s="18">
        <f>343.65+1406.12</f>
        <v>1749.77</v>
      </c>
      <c r="K197" s="18">
        <v>5097.82</v>
      </c>
      <c r="L197" s="19">
        <f>SUM(F197:K197)</f>
        <v>2589605.21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24500.06+6798.63+1728+83074.19+1355.52+1276.5</f>
        <v>118732.90000000001</v>
      </c>
      <c r="G199" s="18">
        <f>1876.22+2305.49+112.7+519.98+503.75+31.14+132.2+4579.52+232.77+6364.11+9632.72+368.46+103.55</f>
        <v>26762.609999999997</v>
      </c>
      <c r="H199" s="18">
        <f>550+2263.04</f>
        <v>2813.04</v>
      </c>
      <c r="I199" s="18">
        <f>4761.37+1043.12+1242</f>
        <v>7046.49</v>
      </c>
      <c r="J199" s="18"/>
      <c r="K199" s="18">
        <v>50</v>
      </c>
      <c r="L199" s="19">
        <f>SUM(F199:K199)</f>
        <v>155405.04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264359.82+7278.29+100542.31+56190.5</f>
        <v>428370.92</v>
      </c>
      <c r="G201" s="18">
        <f>56774.01+1980.57+18757.97+30847.15+1141.58+29100.75+41298.07+20307.72</f>
        <v>200207.82000000004</v>
      </c>
      <c r="H201" s="18">
        <f>415+51337.75+2402.65+34806.21+24305.94</f>
        <v>113267.55</v>
      </c>
      <c r="I201" s="18">
        <f>364.19+1198.75+143.9+44+940.1+1035.41</f>
        <v>3726.3500000000004</v>
      </c>
      <c r="J201" s="18">
        <v>406.93</v>
      </c>
      <c r="K201" s="18">
        <v>0</v>
      </c>
      <c r="L201" s="19">
        <f t="shared" ref="L201:L207" si="0">SUM(F201:K201)</f>
        <v>745979.57000000007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52096.15+80543.27+2711.04</f>
        <v>135350.46000000002</v>
      </c>
      <c r="G202" s="18">
        <f>19469.42+1303.66+10292.57+4584.5+9426.3+20262+573.6</f>
        <v>65912.05</v>
      </c>
      <c r="H202" s="18">
        <f>5555.41+213.99+984.03+1458.23+2096.74+21448.28</f>
        <v>31756.68</v>
      </c>
      <c r="I202" s="18">
        <f>499.26+350.82+6825.58+2162.9+204.73+96.9+2550+9059.7</f>
        <v>21749.89</v>
      </c>
      <c r="J202" s="18">
        <v>0</v>
      </c>
      <c r="K202" s="18">
        <v>1724.4</v>
      </c>
      <c r="L202" s="19">
        <f t="shared" si="0"/>
        <v>256493.48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11437.1</v>
      </c>
      <c r="G203" s="18">
        <v>916.69</v>
      </c>
      <c r="H203" s="18">
        <f>80218.06+1678.08+576690.96-1663.44</f>
        <v>656923.66</v>
      </c>
      <c r="I203" s="18">
        <v>51.75</v>
      </c>
      <c r="J203" s="18">
        <v>0</v>
      </c>
      <c r="K203" s="18">
        <v>4294.5200000000004</v>
      </c>
      <c r="L203" s="19">
        <f t="shared" si="0"/>
        <v>673623.72000000009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195280.86+146860+7719.48+897</f>
        <v>350757.33999999997</v>
      </c>
      <c r="G204" s="18">
        <f>77889.83+3864.18+25843.8+12923.66+22066.8+1470.47+174.11</f>
        <v>144232.84999999998</v>
      </c>
      <c r="H204" s="18">
        <f>169+90+5065.88+5693.95+11021.19+5377.68+37.92</f>
        <v>27455.62</v>
      </c>
      <c r="I204" s="18">
        <f>2974.88+20.89</f>
        <v>2995.77</v>
      </c>
      <c r="J204" s="18">
        <v>375.19</v>
      </c>
      <c r="K204" s="18">
        <v>769</v>
      </c>
      <c r="L204" s="19">
        <f t="shared" si="0"/>
        <v>526585.7699999999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434.7</v>
      </c>
      <c r="G205" s="18">
        <v>0</v>
      </c>
      <c r="H205" s="18">
        <v>0</v>
      </c>
      <c r="I205" s="18">
        <v>547.69000000000005</v>
      </c>
      <c r="J205" s="18">
        <v>0</v>
      </c>
      <c r="K205" s="18">
        <v>778.63</v>
      </c>
      <c r="L205" s="19">
        <f t="shared" si="0"/>
        <v>1761.02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229716.62+5083.33+64276.89</f>
        <v>299076.83999999997</v>
      </c>
      <c r="G206" s="18">
        <f>51932.14+17769.78+20182.96+5166.51+31055.21</f>
        <v>126106.6</v>
      </c>
      <c r="H206" s="18">
        <f>3291.51+7599.84+14561.02+2643.79+10638.18+5127.79+10995.65+492+1909+6326+5651.69+5670.27+56985.71+172.5</f>
        <v>132064.95000000001</v>
      </c>
      <c r="I206" s="18">
        <f>30006.39+1568.76+1029.52+104345.82+2855.36+99657.12+9469.77+661.85</f>
        <v>249594.58999999997</v>
      </c>
      <c r="J206" s="18">
        <f>2608.5+801.47+9704.88</f>
        <v>13114.849999999999</v>
      </c>
      <c r="K206" s="18">
        <v>0</v>
      </c>
      <c r="L206" s="19">
        <f t="shared" si="0"/>
        <v>819957.82999999984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2242.81+2414.12+91719.28+47251.62+895.76</f>
        <v>144523.59</v>
      </c>
      <c r="G207" s="18">
        <f>350.44+174.92+38068.35+14798.08+99.48</f>
        <v>53491.270000000004</v>
      </c>
      <c r="H207" s="18">
        <f>33152.62+15940.98+38641.41</f>
        <v>87735.010000000009</v>
      </c>
      <c r="I207" s="18">
        <f>32121.99+10710.06</f>
        <v>42832.05</v>
      </c>
      <c r="J207" s="18">
        <v>4287.43</v>
      </c>
      <c r="K207" s="18">
        <v>827.48</v>
      </c>
      <c r="L207" s="19">
        <f t="shared" si="0"/>
        <v>333696.82999999996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78851.38</v>
      </c>
      <c r="G208" s="18">
        <v>34796.410000000003</v>
      </c>
      <c r="H208" s="18">
        <v>30326.11</v>
      </c>
      <c r="I208" s="18">
        <v>23860.19</v>
      </c>
      <c r="J208" s="18">
        <v>6714.25</v>
      </c>
      <c r="K208" s="18">
        <v>0</v>
      </c>
      <c r="L208" s="19">
        <f>SUM(F208:K208)</f>
        <v>174548.34000000003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5478463.379999999</v>
      </c>
      <c r="G210" s="41">
        <f t="shared" si="1"/>
        <v>1886406.6800000004</v>
      </c>
      <c r="H210" s="41">
        <f t="shared" si="1"/>
        <v>1794320.9800000002</v>
      </c>
      <c r="I210" s="41">
        <f t="shared" si="1"/>
        <v>420382.39999999997</v>
      </c>
      <c r="J210" s="41">
        <f t="shared" si="1"/>
        <v>29078.67</v>
      </c>
      <c r="K210" s="41">
        <f t="shared" si="1"/>
        <v>13541.849999999999</v>
      </c>
      <c r="L210" s="41">
        <f t="shared" si="1"/>
        <v>9622193.959999999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1124399.93+10702.44</f>
        <v>1135102.3699999999</v>
      </c>
      <c r="G232" s="18">
        <f>406909.77+1734.89</f>
        <v>408644.66000000003</v>
      </c>
      <c r="H232" s="18">
        <f>39153.17+1395</f>
        <v>40548.17</v>
      </c>
      <c r="I232" s="18">
        <v>62401.96</v>
      </c>
      <c r="J232" s="18">
        <v>900.81</v>
      </c>
      <c r="K232" s="18">
        <v>0</v>
      </c>
      <c r="L232" s="19">
        <f>SUM(F232:K232)</f>
        <v>1647597.9699999997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300401.76+13586.1+20266.28+11566.81+1000+156.67+8085.31</f>
        <v>355062.93</v>
      </c>
      <c r="G233" s="18">
        <f>95758.06+6432.9+86.13+3548.88+2237.69+1535.22+488.57+149.5+1496.96</f>
        <v>111733.91000000002</v>
      </c>
      <c r="H233" s="18">
        <f>472607.65+14.27+281.53+425.33+27883.5</f>
        <v>501212.28000000009</v>
      </c>
      <c r="I233" s="18">
        <f>2221.2+62.83+43.8+975.02+2444.93+254.67</f>
        <v>6002.45</v>
      </c>
      <c r="J233" s="18">
        <v>19903</v>
      </c>
      <c r="K233" s="18">
        <v>2290.33</v>
      </c>
      <c r="L233" s="19">
        <f>SUM(F233:K233)</f>
        <v>996204.9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72967.13</v>
      </c>
      <c r="I234" s="18">
        <v>0</v>
      </c>
      <c r="J234" s="18">
        <v>0</v>
      </c>
      <c r="K234" s="18">
        <v>0</v>
      </c>
      <c r="L234" s="19">
        <f>SUM(F234:K234)</f>
        <v>72967.13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75593.62+573.5</f>
        <v>76167.12</v>
      </c>
      <c r="G235" s="18">
        <f>9046.3+46.52</f>
        <v>9092.82</v>
      </c>
      <c r="H235" s="18">
        <v>20383</v>
      </c>
      <c r="I235" s="18">
        <f>12174.04+558</f>
        <v>12732.04</v>
      </c>
      <c r="J235" s="18">
        <v>6904.28</v>
      </c>
      <c r="K235" s="18">
        <v>241.92</v>
      </c>
      <c r="L235" s="19">
        <f>SUM(F235:K235)</f>
        <v>125521.18000000001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159180.47+45171.18+25245.01</f>
        <v>229596.66</v>
      </c>
      <c r="G237" s="18">
        <f>41097+3269.96+18554.21+9123.76</f>
        <v>72044.929999999993</v>
      </c>
      <c r="H237" s="18">
        <f>150+13074.25+15637.57+10920.06</f>
        <v>39781.879999999997</v>
      </c>
      <c r="I237" s="18">
        <f>945.34+1079.45+422.36+465.18</f>
        <v>2912.33</v>
      </c>
      <c r="J237" s="18">
        <f>259.98+182.82</f>
        <v>442.8</v>
      </c>
      <c r="K237" s="18">
        <v>0</v>
      </c>
      <c r="L237" s="19">
        <f t="shared" ref="L237:L243" si="4">SUM(F237:K237)</f>
        <v>344778.6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53134.62</v>
      </c>
      <c r="G238" s="18">
        <v>31316.65</v>
      </c>
      <c r="H238" s="18">
        <f>3839.42+1628.9+942.02</f>
        <v>6410.34</v>
      </c>
      <c r="I238" s="18">
        <f>5915.31+4070.3</f>
        <v>9985.61</v>
      </c>
      <c r="J238" s="18">
        <v>0</v>
      </c>
      <c r="K238" s="18">
        <v>621.04</v>
      </c>
      <c r="L238" s="19">
        <f t="shared" si="4"/>
        <v>101468.26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5138.41</v>
      </c>
      <c r="G239" s="18">
        <v>411.85</v>
      </c>
      <c r="H239" s="18">
        <f>36040+753.92+259093.04-747.34-0.03</f>
        <v>295139.58999999997</v>
      </c>
      <c r="I239" s="18">
        <v>23.25</v>
      </c>
      <c r="J239" s="18">
        <v>0</v>
      </c>
      <c r="K239" s="18">
        <v>1929.42</v>
      </c>
      <c r="L239" s="19">
        <f t="shared" si="4"/>
        <v>302642.51999999996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202553.23+403</f>
        <v>202956.23</v>
      </c>
      <c r="G240" s="18">
        <f>105804.35+78.22</f>
        <v>105882.57</v>
      </c>
      <c r="H240" s="18">
        <v>9355.09</v>
      </c>
      <c r="I240" s="18">
        <v>3042.84</v>
      </c>
      <c r="J240" s="18">
        <v>1791.68</v>
      </c>
      <c r="K240" s="18">
        <v>5130.55</v>
      </c>
      <c r="L240" s="19">
        <f t="shared" si="4"/>
        <v>328158.96000000008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195.3</v>
      </c>
      <c r="H241" s="18">
        <v>0</v>
      </c>
      <c r="I241" s="18">
        <v>246.06</v>
      </c>
      <c r="J241" s="18">
        <v>0</v>
      </c>
      <c r="K241" s="18">
        <v>349.82</v>
      </c>
      <c r="L241" s="19">
        <f t="shared" si="4"/>
        <v>791.18000000000006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119764.34+28878.03+13952.34</f>
        <v>162594.71</v>
      </c>
      <c r="G242" s="18">
        <v>57896.5</v>
      </c>
      <c r="H242" s="18">
        <f>52314.26+25602.28+77.5</f>
        <v>77994.040000000008</v>
      </c>
      <c r="I242" s="18">
        <f>132783.34+3423.02+4254.53+297.36</f>
        <v>140758.24999999997</v>
      </c>
      <c r="J242" s="18">
        <v>8620.2999999999993</v>
      </c>
      <c r="K242" s="18">
        <v>0</v>
      </c>
      <c r="L242" s="19">
        <f t="shared" si="4"/>
        <v>447863.8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37737.93+41207.21+21228.99+402.45</f>
        <v>100576.58</v>
      </c>
      <c r="G243" s="18">
        <f>4467+17103.17+6648.41+44.7</f>
        <v>28263.279999999999</v>
      </c>
      <c r="H243" s="18">
        <f>14894.65+7161.89+17360.63</f>
        <v>39417.17</v>
      </c>
      <c r="I243" s="18">
        <f>14431.62+4811.76</f>
        <v>19243.38</v>
      </c>
      <c r="J243" s="18">
        <v>1926.23</v>
      </c>
      <c r="K243" s="18">
        <v>371.77</v>
      </c>
      <c r="L243" s="19">
        <f t="shared" si="4"/>
        <v>189798.41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35425.980000000003</v>
      </c>
      <c r="G244" s="18">
        <v>15633.17</v>
      </c>
      <c r="H244" s="18">
        <v>13624.78</v>
      </c>
      <c r="I244" s="18">
        <v>10719.8</v>
      </c>
      <c r="J244" s="18">
        <v>0</v>
      </c>
      <c r="K244" s="18">
        <v>3016.55</v>
      </c>
      <c r="L244" s="19">
        <f>SUM(F244:K244)</f>
        <v>78420.28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2355755.61</v>
      </c>
      <c r="G246" s="41">
        <f t="shared" si="5"/>
        <v>841115.64000000025</v>
      </c>
      <c r="H246" s="41">
        <f t="shared" si="5"/>
        <v>1116833.47</v>
      </c>
      <c r="I246" s="41">
        <f t="shared" si="5"/>
        <v>268067.96999999997</v>
      </c>
      <c r="J246" s="41">
        <f t="shared" si="5"/>
        <v>40489.1</v>
      </c>
      <c r="K246" s="41">
        <f t="shared" si="5"/>
        <v>13951.400000000001</v>
      </c>
      <c r="L246" s="41">
        <f t="shared" si="5"/>
        <v>4636213.1900000004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7834218.9899999984</v>
      </c>
      <c r="G256" s="41">
        <f t="shared" si="8"/>
        <v>2727522.3200000008</v>
      </c>
      <c r="H256" s="41">
        <f t="shared" si="8"/>
        <v>2911154.45</v>
      </c>
      <c r="I256" s="41">
        <f t="shared" si="8"/>
        <v>688450.36999999988</v>
      </c>
      <c r="J256" s="41">
        <f t="shared" si="8"/>
        <v>69567.76999999999</v>
      </c>
      <c r="K256" s="41">
        <f t="shared" si="8"/>
        <v>27493.25</v>
      </c>
      <c r="L256" s="41">
        <f t="shared" si="8"/>
        <v>14258407.149999999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76280.009999999995</v>
      </c>
      <c r="L262" s="19">
        <f>SUM(F262:K262)</f>
        <v>76280.009999999995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176280.01</v>
      </c>
      <c r="L269" s="41">
        <f t="shared" si="9"/>
        <v>176280.01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7834218.9899999984</v>
      </c>
      <c r="G270" s="42">
        <f t="shared" si="11"/>
        <v>2727522.3200000008</v>
      </c>
      <c r="H270" s="42">
        <f t="shared" si="11"/>
        <v>2911154.45</v>
      </c>
      <c r="I270" s="42">
        <f t="shared" si="11"/>
        <v>688450.36999999988</v>
      </c>
      <c r="J270" s="42">
        <f t="shared" si="11"/>
        <v>69567.76999999999</v>
      </c>
      <c r="K270" s="42">
        <f t="shared" si="11"/>
        <v>203773.26</v>
      </c>
      <c r="L270" s="42">
        <f t="shared" si="11"/>
        <v>14434687.159999998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966.18</v>
      </c>
      <c r="I275" s="18">
        <v>4703.55</v>
      </c>
      <c r="J275" s="18">
        <v>7085.35</v>
      </c>
      <c r="K275" s="18"/>
      <c r="L275" s="19">
        <f>SUM(F275:K275)</f>
        <v>12755.080000000002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394439.92</v>
      </c>
      <c r="G276" s="18">
        <v>89952.14</v>
      </c>
      <c r="H276" s="18">
        <f>60480.57+916.28</f>
        <v>61396.85</v>
      </c>
      <c r="I276" s="18">
        <v>8343.2199999999993</v>
      </c>
      <c r="J276" s="18"/>
      <c r="K276" s="18"/>
      <c r="L276" s="19">
        <f>SUM(F276:K276)</f>
        <v>554132.13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45922.5</v>
      </c>
      <c r="G280" s="18"/>
      <c r="H280" s="18"/>
      <c r="I280" s="18">
        <v>256.36</v>
      </c>
      <c r="J280" s="18"/>
      <c r="K280" s="18"/>
      <c r="L280" s="19">
        <f t="shared" ref="L280:L286" si="12">SUM(F280:K280)</f>
        <v>46178.86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117855.99</v>
      </c>
      <c r="G281" s="18">
        <v>22498.71</v>
      </c>
      <c r="H281" s="18">
        <v>99692.36</v>
      </c>
      <c r="I281" s="18">
        <v>2378.96</v>
      </c>
      <c r="J281" s="18">
        <v>3903.21</v>
      </c>
      <c r="K281" s="18">
        <v>100</v>
      </c>
      <c r="L281" s="19">
        <f t="shared" si="12"/>
        <v>246429.22999999998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90581.7</v>
      </c>
      <c r="G282" s="18">
        <v>33075.49</v>
      </c>
      <c r="H282" s="18">
        <f>1483.5+18012.23+1076.37</f>
        <v>20572.099999999999</v>
      </c>
      <c r="I282" s="18"/>
      <c r="J282" s="18"/>
      <c r="K282" s="18"/>
      <c r="L282" s="19">
        <f t="shared" si="12"/>
        <v>144229.29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1034.9100000000001</v>
      </c>
      <c r="I286" s="18"/>
      <c r="J286" s="18"/>
      <c r="K286" s="18"/>
      <c r="L286" s="19">
        <f t="shared" si="12"/>
        <v>1034.9100000000001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648800.11</v>
      </c>
      <c r="G289" s="42">
        <f t="shared" si="13"/>
        <v>145526.34</v>
      </c>
      <c r="H289" s="42">
        <f t="shared" si="13"/>
        <v>183662.40000000002</v>
      </c>
      <c r="I289" s="42">
        <f t="shared" si="13"/>
        <v>15682.09</v>
      </c>
      <c r="J289" s="42">
        <f t="shared" si="13"/>
        <v>10988.560000000001</v>
      </c>
      <c r="K289" s="42">
        <f t="shared" si="13"/>
        <v>100</v>
      </c>
      <c r="L289" s="41">
        <f t="shared" si="13"/>
        <v>1004759.5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434.08</v>
      </c>
      <c r="I313" s="18">
        <v>2113.1999999999998</v>
      </c>
      <c r="J313" s="18">
        <v>3183.28</v>
      </c>
      <c r="K313" s="18"/>
      <c r="L313" s="19">
        <f>SUM(F313:K313)</f>
        <v>5730.5599999999995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43078.92</v>
      </c>
      <c r="G314" s="18">
        <v>3454.63</v>
      </c>
      <c r="H314" s="18"/>
      <c r="I314" s="18">
        <v>5955.36</v>
      </c>
      <c r="J314" s="18">
        <v>30200.89</v>
      </c>
      <c r="K314" s="18"/>
      <c r="L314" s="19">
        <f>SUM(F314:K314)</f>
        <v>82689.799999999988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18093.310000000001</v>
      </c>
      <c r="G319" s="18">
        <v>3312.45</v>
      </c>
      <c r="H319" s="18">
        <v>90201.7</v>
      </c>
      <c r="I319" s="18">
        <v>957.24</v>
      </c>
      <c r="J319" s="18"/>
      <c r="K319" s="18"/>
      <c r="L319" s="19">
        <f t="shared" si="16"/>
        <v>112564.7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58000</v>
      </c>
      <c r="G320" s="18">
        <v>18584.740000000002</v>
      </c>
      <c r="H320" s="18">
        <v>666.5</v>
      </c>
      <c r="I320" s="18"/>
      <c r="J320" s="18"/>
      <c r="K320" s="18"/>
      <c r="L320" s="19">
        <f t="shared" si="16"/>
        <v>77251.240000000005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464.97</v>
      </c>
      <c r="I324" s="18"/>
      <c r="J324" s="18"/>
      <c r="K324" s="18"/>
      <c r="L324" s="19">
        <f t="shared" si="16"/>
        <v>464.97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119172.23</v>
      </c>
      <c r="G327" s="42">
        <f t="shared" si="17"/>
        <v>25351.82</v>
      </c>
      <c r="H327" s="42">
        <f t="shared" si="17"/>
        <v>91767.25</v>
      </c>
      <c r="I327" s="42">
        <f t="shared" si="17"/>
        <v>9025.7999999999993</v>
      </c>
      <c r="J327" s="42">
        <f t="shared" si="17"/>
        <v>33384.17</v>
      </c>
      <c r="K327" s="42">
        <f t="shared" si="17"/>
        <v>0</v>
      </c>
      <c r="L327" s="41">
        <f t="shared" si="17"/>
        <v>278701.26999999996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107353.4</v>
      </c>
      <c r="G332" s="18">
        <v>20357.669999999998</v>
      </c>
      <c r="H332" s="18">
        <v>30569.07</v>
      </c>
      <c r="I332" s="18">
        <v>2119.8200000000002</v>
      </c>
      <c r="J332" s="18">
        <v>0</v>
      </c>
      <c r="K332" s="18">
        <v>2137.33</v>
      </c>
      <c r="L332" s="19">
        <f t="shared" si="18"/>
        <v>162537.28999999998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107353.4</v>
      </c>
      <c r="G336" s="41">
        <f t="shared" si="19"/>
        <v>20357.669999999998</v>
      </c>
      <c r="H336" s="41">
        <f t="shared" si="19"/>
        <v>30569.07</v>
      </c>
      <c r="I336" s="41">
        <f t="shared" si="19"/>
        <v>2119.8200000000002</v>
      </c>
      <c r="J336" s="41">
        <f t="shared" si="19"/>
        <v>0</v>
      </c>
      <c r="K336" s="41">
        <f t="shared" si="19"/>
        <v>2137.33</v>
      </c>
      <c r="L336" s="41">
        <f t="shared" si="18"/>
        <v>162537.28999999998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875325.74</v>
      </c>
      <c r="G337" s="41">
        <f t="shared" si="20"/>
        <v>191235.83000000002</v>
      </c>
      <c r="H337" s="41">
        <f t="shared" si="20"/>
        <v>305998.72000000003</v>
      </c>
      <c r="I337" s="41">
        <f t="shared" si="20"/>
        <v>26827.71</v>
      </c>
      <c r="J337" s="41">
        <f t="shared" si="20"/>
        <v>44372.729999999996</v>
      </c>
      <c r="K337" s="41">
        <f t="shared" si="20"/>
        <v>2237.33</v>
      </c>
      <c r="L337" s="41">
        <f t="shared" si="20"/>
        <v>1445998.06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875325.74</v>
      </c>
      <c r="G351" s="41">
        <f>G337</f>
        <v>191235.83000000002</v>
      </c>
      <c r="H351" s="41">
        <f>H337</f>
        <v>305998.72000000003</v>
      </c>
      <c r="I351" s="41">
        <f>I337</f>
        <v>26827.71</v>
      </c>
      <c r="J351" s="41">
        <f>J337</f>
        <v>44372.729999999996</v>
      </c>
      <c r="K351" s="47">
        <f>K337+K350</f>
        <v>2237.33</v>
      </c>
      <c r="L351" s="41">
        <f>L337+L350</f>
        <v>1445998.06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115794.17+12424.93</f>
        <v>128219.1</v>
      </c>
      <c r="G357" s="18">
        <f>22752.79+7710.13</f>
        <v>30462.920000000002</v>
      </c>
      <c r="H357" s="18">
        <f>4921.91+345.88</f>
        <v>5267.79</v>
      </c>
      <c r="I357" s="18">
        <f>145977.02+664.4</f>
        <v>146641.41999999998</v>
      </c>
      <c r="J357" s="18"/>
      <c r="K357" s="18"/>
      <c r="L357" s="13">
        <f>SUM(F357:K357)</f>
        <v>310591.23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55402.87+27655.48</f>
        <v>83058.350000000006</v>
      </c>
      <c r="G359" s="18">
        <f>7354.33+17161.25</f>
        <v>24515.58</v>
      </c>
      <c r="H359" s="18">
        <f>2787.93+769.86</f>
        <v>3557.79</v>
      </c>
      <c r="I359" s="18">
        <f>84758.21+1478.81</f>
        <v>86237.02</v>
      </c>
      <c r="J359" s="18"/>
      <c r="K359" s="18"/>
      <c r="L359" s="19">
        <f>SUM(F359:K359)</f>
        <v>197368.74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211277.45</v>
      </c>
      <c r="G361" s="47">
        <f t="shared" si="22"/>
        <v>54978.5</v>
      </c>
      <c r="H361" s="47">
        <f t="shared" si="22"/>
        <v>8825.58</v>
      </c>
      <c r="I361" s="47">
        <f t="shared" si="22"/>
        <v>232878.44</v>
      </c>
      <c r="J361" s="47">
        <f t="shared" si="22"/>
        <v>0</v>
      </c>
      <c r="K361" s="47">
        <f t="shared" si="22"/>
        <v>0</v>
      </c>
      <c r="L361" s="47">
        <f t="shared" si="22"/>
        <v>507959.97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46048.92+65686.37+7709.7+12621.99</f>
        <v>132066.97999999998</v>
      </c>
      <c r="G366" s="18"/>
      <c r="H366" s="18">
        <f>66995.74+9945.49</f>
        <v>76941.23000000001</v>
      </c>
      <c r="I366" s="56">
        <f>SUM(F366:H366)</f>
        <v>209008.21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1478.81+4833.97+9076.07</f>
        <v>15388.85</v>
      </c>
      <c r="G367" s="63"/>
      <c r="H367" s="63">
        <f>664.4+7816.98</f>
        <v>8481.3799999999992</v>
      </c>
      <c r="I367" s="56">
        <f>SUM(F367:H367)</f>
        <v>23870.23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147455.82999999999</v>
      </c>
      <c r="G368" s="47">
        <f>SUM(G366:G367)</f>
        <v>0</v>
      </c>
      <c r="H368" s="47">
        <f>SUM(H366:H367)</f>
        <v>85422.610000000015</v>
      </c>
      <c r="I368" s="47">
        <f>SUM(I366:I367)</f>
        <v>232878.44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4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191.68+290.99+154.01+874.18</f>
        <v>1510.8600000000001</v>
      </c>
      <c r="I388" s="18"/>
      <c r="J388" s="24" t="s">
        <v>289</v>
      </c>
      <c r="K388" s="24" t="s">
        <v>289</v>
      </c>
      <c r="L388" s="56">
        <f t="shared" si="25"/>
        <v>1510.8600000000001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f>8.16</f>
        <v>8.16</v>
      </c>
      <c r="I389" s="18"/>
      <c r="J389" s="24" t="s">
        <v>289</v>
      </c>
      <c r="K389" s="24" t="s">
        <v>289</v>
      </c>
      <c r="L389" s="56">
        <f t="shared" si="25"/>
        <v>8.16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203.02</v>
      </c>
      <c r="I390" s="18"/>
      <c r="J390" s="24" t="s">
        <v>289</v>
      </c>
      <c r="K390" s="24" t="s">
        <v>289</v>
      </c>
      <c r="L390" s="56">
        <f t="shared" si="25"/>
        <v>203.02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24.35</v>
      </c>
      <c r="I391" s="18"/>
      <c r="J391" s="24" t="s">
        <v>289</v>
      </c>
      <c r="K391" s="24" t="s">
        <v>289</v>
      </c>
      <c r="L391" s="56">
        <f t="shared" si="25"/>
        <v>24.35</v>
      </c>
      <c r="M391" s="8"/>
      <c r="N391" s="269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1746.39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1746.39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66.98</v>
      </c>
      <c r="I394" s="18"/>
      <c r="J394" s="24" t="s">
        <v>289</v>
      </c>
      <c r="K394" s="24" t="s">
        <v>289</v>
      </c>
      <c r="L394" s="56">
        <f t="shared" ref="L394:L399" si="26">SUM(F394:K394)</f>
        <v>66.98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/>
      <c r="I395" s="18"/>
      <c r="J395" s="24" t="s">
        <v>289</v>
      </c>
      <c r="K395" s="24" t="s">
        <v>289</v>
      </c>
      <c r="L395" s="56">
        <f t="shared" si="26"/>
        <v>50000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186.08</v>
      </c>
      <c r="I396" s="18"/>
      <c r="J396" s="24" t="s">
        <v>289</v>
      </c>
      <c r="K396" s="24" t="s">
        <v>289</v>
      </c>
      <c r="L396" s="56">
        <f t="shared" si="26"/>
        <v>50186.080000000002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129.9</v>
      </c>
      <c r="I398" s="18"/>
      <c r="J398" s="24" t="s">
        <v>289</v>
      </c>
      <c r="K398" s="24" t="s">
        <v>289</v>
      </c>
      <c r="L398" s="56">
        <f t="shared" si="26"/>
        <v>129.9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382.96000000000004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100382.95999999999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2129.3500000000004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102129.34999999999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100000</v>
      </c>
      <c r="H440" s="18"/>
      <c r="I440" s="56">
        <f t="shared" si="33"/>
        <v>100000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1515247.99</v>
      </c>
      <c r="G441" s="18">
        <v>204418.73</v>
      </c>
      <c r="H441" s="18"/>
      <c r="I441" s="56">
        <f t="shared" si="33"/>
        <v>1719666.72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1515247.99</v>
      </c>
      <c r="G445" s="13">
        <f>SUM(G438:G444)</f>
        <v>304418.73</v>
      </c>
      <c r="H445" s="13">
        <f>SUM(H438:H444)</f>
        <v>0</v>
      </c>
      <c r="I445" s="13">
        <f>SUM(I438:I444)</f>
        <v>1819666.72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1515247.99</v>
      </c>
      <c r="G458" s="18">
        <v>304418.73</v>
      </c>
      <c r="H458" s="18"/>
      <c r="I458" s="56">
        <f t="shared" si="34"/>
        <v>1819666.72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1515247.99</v>
      </c>
      <c r="G459" s="83">
        <f>SUM(G453:G458)</f>
        <v>304418.73</v>
      </c>
      <c r="H459" s="83">
        <f>SUM(H453:H458)</f>
        <v>0</v>
      </c>
      <c r="I459" s="83">
        <f>SUM(I453:I458)</f>
        <v>1819666.72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1515247.99</v>
      </c>
      <c r="G460" s="42">
        <f>G451+G459</f>
        <v>304418.73</v>
      </c>
      <c r="H460" s="42">
        <f>H451+H459</f>
        <v>0</v>
      </c>
      <c r="I460" s="42">
        <f>I451+I459</f>
        <v>1819666.72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542836.47</v>
      </c>
      <c r="G464" s="18">
        <v>43.06</v>
      </c>
      <c r="H464" s="18">
        <v>0</v>
      </c>
      <c r="I464" s="18"/>
      <c r="J464" s="18">
        <v>1690584.88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15939104.68</v>
      </c>
      <c r="G467" s="18">
        <v>556936.17000000004</v>
      </c>
      <c r="H467" s="18">
        <v>1474273.11</v>
      </c>
      <c r="I467" s="18"/>
      <c r="J467" s="18">
        <f>100000+2129.35</f>
        <v>102129.35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26952.49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15939104.68</v>
      </c>
      <c r="G469" s="53">
        <f>SUM(G467:G468)</f>
        <v>556936.17000000004</v>
      </c>
      <c r="H469" s="53">
        <f>SUM(H467:H468)</f>
        <v>1474273.11</v>
      </c>
      <c r="I469" s="53">
        <f>SUM(I467:I468)</f>
        <v>0</v>
      </c>
      <c r="J469" s="53">
        <f>SUM(J467:J468)</f>
        <v>129081.84000000001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14484687.16-50000</f>
        <v>14434687.16</v>
      </c>
      <c r="G471" s="18">
        <v>507959.97</v>
      </c>
      <c r="H471" s="18">
        <v>1445998.06</v>
      </c>
      <c r="I471" s="18"/>
      <c r="J471" s="18"/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598713.68000000005</v>
      </c>
      <c r="G472" s="18">
        <v>48976.2</v>
      </c>
      <c r="H472" s="18">
        <v>28275.05</v>
      </c>
      <c r="I472" s="18"/>
      <c r="J472" s="18"/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15033400.84</v>
      </c>
      <c r="G473" s="53">
        <f>SUM(G471:G472)</f>
        <v>556936.16999999993</v>
      </c>
      <c r="H473" s="53">
        <f>SUM(H471:H472)</f>
        <v>1474273.11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1448540.3100000005</v>
      </c>
      <c r="G475" s="53">
        <f>(G464+G469)- G473</f>
        <v>43.060000000172295</v>
      </c>
      <c r="H475" s="53">
        <f>(H464+H469)- H473</f>
        <v>0</v>
      </c>
      <c r="I475" s="53">
        <f>(I464+I469)- I473</f>
        <v>0</v>
      </c>
      <c r="J475" s="53">
        <f>(J464+J469)- J473</f>
        <v>1819666.72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271" t="s">
        <v>913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194488.72</v>
      </c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2.68</v>
      </c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194488.72</v>
      </c>
      <c r="G494" s="18"/>
      <c r="H494" s="18"/>
      <c r="I494" s="18"/>
      <c r="J494" s="18"/>
      <c r="K494" s="53">
        <f>SUM(F494:J494)</f>
        <v>194488.72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v>194488.72</v>
      </c>
      <c r="G497" s="203"/>
      <c r="H497" s="203"/>
      <c r="I497" s="203"/>
      <c r="J497" s="203"/>
      <c r="K497" s="204">
        <f t="shared" si="35"/>
        <v>194488.72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13144.13</v>
      </c>
      <c r="G498" s="18"/>
      <c r="H498" s="18"/>
      <c r="I498" s="18"/>
      <c r="J498" s="18"/>
      <c r="K498" s="53">
        <f t="shared" si="35"/>
        <v>13144.13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207632.85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207632.85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41526.57</v>
      </c>
      <c r="G500" s="203"/>
      <c r="H500" s="203"/>
      <c r="I500" s="203"/>
      <c r="J500" s="203"/>
      <c r="K500" s="204">
        <f t="shared" si="35"/>
        <v>41526.57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2584.73</f>
        <v>2584.73</v>
      </c>
      <c r="G501" s="18"/>
      <c r="H501" s="18"/>
      <c r="I501" s="18"/>
      <c r="J501" s="18"/>
      <c r="K501" s="53">
        <f t="shared" si="35"/>
        <v>2584.73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44111.3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44111.3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21951.94+1234149.91</f>
        <v>1256101.8499999999</v>
      </c>
      <c r="G520" s="18">
        <f>5999.74+301395.14</f>
        <v>307394.88</v>
      </c>
      <c r="H520" s="18">
        <v>740051.14</v>
      </c>
      <c r="I520" s="18">
        <v>8572.9699999999993</v>
      </c>
      <c r="J520" s="18">
        <v>14290.83</v>
      </c>
      <c r="K520" s="18">
        <v>4876.18</v>
      </c>
      <c r="L520" s="88">
        <f>SUM(F520:K520)</f>
        <v>2331287.8500000006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11308.57+635774.19</f>
        <v>647082.75999999989</v>
      </c>
      <c r="G522" s="18">
        <f>3090.77+155264.17</f>
        <v>158354.94</v>
      </c>
      <c r="H522" s="18">
        <v>381238.46</v>
      </c>
      <c r="I522" s="18">
        <v>4416.38</v>
      </c>
      <c r="J522" s="18">
        <v>7361.94</v>
      </c>
      <c r="K522" s="18">
        <v>2511.9699999999998</v>
      </c>
      <c r="L522" s="88">
        <f>SUM(F522:K522)</f>
        <v>1200966.4499999997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1903184.6099999999</v>
      </c>
      <c r="G523" s="108">
        <f t="shared" ref="G523:L523" si="36">SUM(G520:G522)</f>
        <v>465749.82</v>
      </c>
      <c r="H523" s="108">
        <f t="shared" si="36"/>
        <v>1121289.6000000001</v>
      </c>
      <c r="I523" s="108">
        <f t="shared" si="36"/>
        <v>12989.349999999999</v>
      </c>
      <c r="J523" s="108">
        <f t="shared" si="36"/>
        <v>21652.77</v>
      </c>
      <c r="K523" s="108">
        <f t="shared" si="36"/>
        <v>7388.15</v>
      </c>
      <c r="L523" s="89">
        <f t="shared" si="36"/>
        <v>3532254.3000000003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149918.32999999999</v>
      </c>
      <c r="G525" s="18">
        <v>65889.13</v>
      </c>
      <c r="H525" s="18">
        <v>84377.55</v>
      </c>
      <c r="I525" s="18">
        <v>4187.8</v>
      </c>
      <c r="J525" s="18">
        <v>389.24</v>
      </c>
      <c r="K525" s="18"/>
      <c r="L525" s="88">
        <f>SUM(F525:K525)</f>
        <v>304762.05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77230.66</v>
      </c>
      <c r="G527" s="18">
        <v>33942.879999999997</v>
      </c>
      <c r="H527" s="18">
        <v>43467.23</v>
      </c>
      <c r="I527" s="18">
        <v>2157.35</v>
      </c>
      <c r="J527" s="18">
        <v>200.52</v>
      </c>
      <c r="K527" s="18"/>
      <c r="L527" s="88">
        <f>SUM(F527:K527)</f>
        <v>156998.64000000001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227148.99</v>
      </c>
      <c r="G528" s="89">
        <f t="shared" ref="G528:L528" si="37">SUM(G525:G527)</f>
        <v>99832.010000000009</v>
      </c>
      <c r="H528" s="89">
        <f t="shared" si="37"/>
        <v>127844.78</v>
      </c>
      <c r="I528" s="89">
        <f t="shared" si="37"/>
        <v>6345.15</v>
      </c>
      <c r="J528" s="89">
        <f t="shared" si="37"/>
        <v>589.76</v>
      </c>
      <c r="K528" s="89">
        <f t="shared" si="37"/>
        <v>0</v>
      </c>
      <c r="L528" s="89">
        <f t="shared" si="37"/>
        <v>461760.69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73141.02</v>
      </c>
      <c r="G530" s="18">
        <v>44701</v>
      </c>
      <c r="H530" s="18"/>
      <c r="I530" s="18"/>
      <c r="J530" s="18"/>
      <c r="K530" s="18"/>
      <c r="L530" s="88">
        <f>SUM(F530:K530)</f>
        <v>117842.02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37678.699999999997</v>
      </c>
      <c r="G532" s="18">
        <v>23027.79</v>
      </c>
      <c r="H532" s="18"/>
      <c r="I532" s="18"/>
      <c r="J532" s="18"/>
      <c r="K532" s="18"/>
      <c r="L532" s="88">
        <f>SUM(F532:K532)</f>
        <v>60706.49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110819.72</v>
      </c>
      <c r="G533" s="89">
        <f t="shared" ref="G533:L533" si="38">SUM(G530:G532)</f>
        <v>67728.790000000008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178548.51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1605.12</v>
      </c>
      <c r="I535" s="18"/>
      <c r="J535" s="18"/>
      <c r="K535" s="18"/>
      <c r="L535" s="88">
        <f>SUM(F535:K535)</f>
        <v>1605.12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826.88</v>
      </c>
      <c r="I537" s="18"/>
      <c r="J537" s="18"/>
      <c r="K537" s="18"/>
      <c r="L537" s="88">
        <f>SUM(F537:K537)</f>
        <v>826.88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2432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2432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45882.01</v>
      </c>
      <c r="G540" s="18">
        <v>14369.15</v>
      </c>
      <c r="H540" s="18">
        <v>15478.92</v>
      </c>
      <c r="I540" s="18">
        <v>10399.620000000001</v>
      </c>
      <c r="J540" s="18"/>
      <c r="K540" s="18"/>
      <c r="L540" s="88">
        <f>SUM(F540:K540)</f>
        <v>86129.7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22598.6</v>
      </c>
      <c r="G542" s="18">
        <v>7077.34</v>
      </c>
      <c r="H542" s="18">
        <v>7623.95</v>
      </c>
      <c r="I542" s="18">
        <v>5122.2</v>
      </c>
      <c r="J542" s="18"/>
      <c r="K542" s="18"/>
      <c r="L542" s="88">
        <f>SUM(F542:K542)</f>
        <v>42422.09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68480.61</v>
      </c>
      <c r="G543" s="192">
        <f t="shared" ref="G543:L543" si="40">SUM(G540:G542)</f>
        <v>21446.489999999998</v>
      </c>
      <c r="H543" s="192">
        <f t="shared" si="40"/>
        <v>23102.87</v>
      </c>
      <c r="I543" s="192">
        <f t="shared" si="40"/>
        <v>15521.82</v>
      </c>
      <c r="J543" s="192">
        <f t="shared" si="40"/>
        <v>0</v>
      </c>
      <c r="K543" s="192">
        <f t="shared" si="40"/>
        <v>0</v>
      </c>
      <c r="L543" s="192">
        <f t="shared" si="40"/>
        <v>128551.79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2309633.9299999997</v>
      </c>
      <c r="G544" s="89">
        <f t="shared" ref="G544:L544" si="41">G523+G528+G533+G538+G543</f>
        <v>654757.1100000001</v>
      </c>
      <c r="H544" s="89">
        <f t="shared" si="41"/>
        <v>1274669.2500000002</v>
      </c>
      <c r="I544" s="89">
        <f t="shared" si="41"/>
        <v>34856.32</v>
      </c>
      <c r="J544" s="89">
        <f t="shared" si="41"/>
        <v>22242.53</v>
      </c>
      <c r="K544" s="89">
        <f t="shared" si="41"/>
        <v>7388.15</v>
      </c>
      <c r="L544" s="89">
        <f t="shared" si="41"/>
        <v>4303547.29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2331287.8500000006</v>
      </c>
      <c r="G548" s="87">
        <f>L525</f>
        <v>304762.05</v>
      </c>
      <c r="H548" s="87">
        <f>L530</f>
        <v>117842.02</v>
      </c>
      <c r="I548" s="87">
        <f>L535</f>
        <v>1605.12</v>
      </c>
      <c r="J548" s="87">
        <f>L540</f>
        <v>86129.7</v>
      </c>
      <c r="K548" s="87">
        <f>SUM(F548:J548)</f>
        <v>2841626.7400000007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1200966.4499999997</v>
      </c>
      <c r="G550" s="87">
        <f>L527</f>
        <v>156998.64000000001</v>
      </c>
      <c r="H550" s="87">
        <f>L532</f>
        <v>60706.49</v>
      </c>
      <c r="I550" s="87">
        <f>L537</f>
        <v>826.88</v>
      </c>
      <c r="J550" s="87">
        <f>L542</f>
        <v>42422.09</v>
      </c>
      <c r="K550" s="87">
        <f>SUM(F550:J550)</f>
        <v>1461920.5499999998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3532254.3000000003</v>
      </c>
      <c r="G551" s="89">
        <f t="shared" si="42"/>
        <v>461760.69</v>
      </c>
      <c r="H551" s="89">
        <f t="shared" si="42"/>
        <v>178548.51</v>
      </c>
      <c r="I551" s="89">
        <f t="shared" si="42"/>
        <v>2432</v>
      </c>
      <c r="J551" s="89">
        <f t="shared" si="42"/>
        <v>128551.79</v>
      </c>
      <c r="K551" s="89">
        <f t="shared" si="42"/>
        <v>4303547.290000001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238475.76</v>
      </c>
      <c r="G556" s="18">
        <v>53376.39</v>
      </c>
      <c r="H556" s="18">
        <v>40521.919999999998</v>
      </c>
      <c r="I556" s="18">
        <v>9437.06</v>
      </c>
      <c r="J556" s="18">
        <v>19932.59</v>
      </c>
      <c r="K556" s="18"/>
      <c r="L556" s="88">
        <f>SUM(F556:K556)</f>
        <v>361743.72000000003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122851.15</v>
      </c>
      <c r="G558" s="18">
        <v>27496.93</v>
      </c>
      <c r="H558" s="18">
        <v>20874.93</v>
      </c>
      <c r="I558" s="18">
        <v>4861.5200000000004</v>
      </c>
      <c r="J558" s="18">
        <v>10268.299999999999</v>
      </c>
      <c r="K558" s="18"/>
      <c r="L558" s="88">
        <f>SUM(F558:K558)</f>
        <v>186352.82999999996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361326.91000000003</v>
      </c>
      <c r="G559" s="108">
        <f t="shared" si="43"/>
        <v>80873.320000000007</v>
      </c>
      <c r="H559" s="108">
        <f t="shared" si="43"/>
        <v>61396.85</v>
      </c>
      <c r="I559" s="108">
        <f t="shared" si="43"/>
        <v>14298.58</v>
      </c>
      <c r="J559" s="108">
        <f t="shared" si="43"/>
        <v>30200.89</v>
      </c>
      <c r="K559" s="108">
        <f t="shared" si="43"/>
        <v>0</v>
      </c>
      <c r="L559" s="89">
        <f t="shared" si="43"/>
        <v>548096.55000000005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17213.88</v>
      </c>
      <c r="G561" s="18">
        <v>3187.06</v>
      </c>
      <c r="H561" s="18"/>
      <c r="I561" s="18"/>
      <c r="J561" s="18"/>
      <c r="K561" s="18"/>
      <c r="L561" s="88">
        <f>SUM(F561:K561)</f>
        <v>20400.940000000002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8867.76</v>
      </c>
      <c r="G563" s="18">
        <v>1641.83</v>
      </c>
      <c r="H563" s="18"/>
      <c r="I563" s="18"/>
      <c r="J563" s="18"/>
      <c r="K563" s="18"/>
      <c r="L563" s="88">
        <f>SUM(F563:K563)</f>
        <v>10509.59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26081.64</v>
      </c>
      <c r="G564" s="89">
        <f t="shared" si="44"/>
        <v>4828.8899999999994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30910.530000000002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387408.55000000005</v>
      </c>
      <c r="G570" s="89">
        <f t="shared" ref="G570:L570" si="46">G559+G564+G569</f>
        <v>85702.21</v>
      </c>
      <c r="H570" s="89">
        <f t="shared" si="46"/>
        <v>61396.85</v>
      </c>
      <c r="I570" s="89">
        <f t="shared" si="46"/>
        <v>14298.58</v>
      </c>
      <c r="J570" s="89">
        <f t="shared" si="46"/>
        <v>30200.89</v>
      </c>
      <c r="K570" s="89">
        <f t="shared" si="46"/>
        <v>0</v>
      </c>
      <c r="L570" s="89">
        <f t="shared" si="46"/>
        <v>579007.08000000007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f>57782.04+241660.46+233675.45</f>
        <v>533117.94999999995</v>
      </c>
      <c r="G577" s="18"/>
      <c r="H577" s="18">
        <f>431958.61+6615.65</f>
        <v>438574.26</v>
      </c>
      <c r="I577" s="87">
        <f t="shared" si="47"/>
        <v>971692.21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72967.13</v>
      </c>
      <c r="I583" s="87">
        <f t="shared" si="47"/>
        <v>72967.13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214545.7</v>
      </c>
      <c r="I590" s="18"/>
      <c r="J590" s="18">
        <v>96390.09</v>
      </c>
      <c r="K590" s="104">
        <f t="shared" ref="K590:K596" si="48">SUM(H590:J590)</f>
        <v>310935.79000000004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88700.73</v>
      </c>
      <c r="I591" s="18"/>
      <c r="J591" s="18">
        <v>39851.06</v>
      </c>
      <c r="K591" s="104">
        <f t="shared" si="48"/>
        <v>128551.79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26844.33</v>
      </c>
      <c r="K592" s="104">
        <f t="shared" si="48"/>
        <v>26844.33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2685.48</v>
      </c>
      <c r="I593" s="18"/>
      <c r="J593" s="18">
        <v>13848.97</v>
      </c>
      <c r="K593" s="104">
        <f t="shared" si="48"/>
        <v>16534.45</v>
      </c>
      <c r="L593" s="24" t="s">
        <v>289</v>
      </c>
      <c r="M593" s="8"/>
      <c r="N593" s="269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3940.38</v>
      </c>
      <c r="I594" s="18"/>
      <c r="J594" s="18">
        <v>1528.22</v>
      </c>
      <c r="K594" s="104">
        <f t="shared" si="48"/>
        <v>5468.6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23824.54</v>
      </c>
      <c r="I596" s="18"/>
      <c r="J596" s="18">
        <v>11335.74</v>
      </c>
      <c r="K596" s="104">
        <f t="shared" si="48"/>
        <v>35160.28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333696.82999999996</v>
      </c>
      <c r="I597" s="108">
        <f>SUM(I590:I596)</f>
        <v>0</v>
      </c>
      <c r="J597" s="108">
        <f>SUM(J590:J596)</f>
        <v>189798.40999999997</v>
      </c>
      <c r="K597" s="108">
        <f>SUM(K590:K596)</f>
        <v>523495.24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13114.85</v>
      </c>
      <c r="I602" s="18"/>
      <c r="J602" s="18"/>
      <c r="K602" s="104">
        <f>SUM(H602:J602)</f>
        <v>13114.85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15963.82+10988.56</f>
        <v>26952.379999999997</v>
      </c>
      <c r="I603" s="18"/>
      <c r="J603" s="18">
        <f>40489.1+33384.17</f>
        <v>73873.26999999999</v>
      </c>
      <c r="K603" s="104">
        <f>SUM(H603:J603)</f>
        <v>100825.65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40067.229999999996</v>
      </c>
      <c r="I604" s="108">
        <f>SUM(I601:I603)</f>
        <v>0</v>
      </c>
      <c r="J604" s="108">
        <f>SUM(J601:J603)</f>
        <v>73873.26999999999</v>
      </c>
      <c r="K604" s="108">
        <f>SUM(K601:K603)</f>
        <v>113940.5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2925906.1100000003</v>
      </c>
      <c r="H616" s="109">
        <f>SUM(F51)</f>
        <v>2925906.1100000003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43.06</v>
      </c>
      <c r="H617" s="109">
        <f>SUM(G51)</f>
        <v>43.06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33700.129999999997</v>
      </c>
      <c r="H618" s="109">
        <f>SUM(H51)</f>
        <v>33700.129999999997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1819666.72</v>
      </c>
      <c r="H620" s="109">
        <f>SUM(J51)</f>
        <v>1819666.72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1448540.31</v>
      </c>
      <c r="H621" s="109">
        <f>F475</f>
        <v>1448540.3100000005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43.06</v>
      </c>
      <c r="H622" s="109">
        <f>G475</f>
        <v>43.060000000172295</v>
      </c>
      <c r="I622" s="121" t="s">
        <v>102</v>
      </c>
      <c r="J622" s="109">
        <f t="shared" si="50"/>
        <v>-1.7229240256710909E-10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1819666.72</v>
      </c>
      <c r="H625" s="109">
        <f>J475</f>
        <v>1819666.72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15939104.68</v>
      </c>
      <c r="H626" s="104">
        <f>SUM(F467)</f>
        <v>15939104.68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556936.16999999993</v>
      </c>
      <c r="H627" s="104">
        <f>SUM(G467)</f>
        <v>556936.17000000004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1474273.1099999999</v>
      </c>
      <c r="H628" s="104">
        <f>SUM(H467)</f>
        <v>1474273.11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102129.35</v>
      </c>
      <c r="H630" s="104">
        <f>SUM(J467)</f>
        <v>102129.35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14434687.159999998</v>
      </c>
      <c r="H631" s="104">
        <f>SUM(F471)</f>
        <v>14434687.16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1445998.06</v>
      </c>
      <c r="H632" s="104">
        <f>SUM(H471)</f>
        <v>1445998.06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232878.44</v>
      </c>
      <c r="H633" s="104">
        <f>I368</f>
        <v>232878.44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507959.97</v>
      </c>
      <c r="H634" s="104">
        <f>SUM(G471)</f>
        <v>507959.97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102129.34999999999</v>
      </c>
      <c r="H636" s="164">
        <f>SUM(J467)</f>
        <v>102129.35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1515247.99</v>
      </c>
      <c r="H638" s="104">
        <f>SUM(F460)</f>
        <v>1515247.99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304418.73</v>
      </c>
      <c r="H639" s="104">
        <f>SUM(G460)</f>
        <v>304418.73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1819666.72</v>
      </c>
      <c r="H641" s="104">
        <f>SUM(I460)</f>
        <v>1819666.72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2129.35</v>
      </c>
      <c r="H643" s="104">
        <f>H407</f>
        <v>2129.3500000000004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102129.35</v>
      </c>
      <c r="H645" s="104">
        <f>L407</f>
        <v>102129.34999999999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523495.24</v>
      </c>
      <c r="H646" s="104">
        <f>L207+L225+L243</f>
        <v>523495.24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113940.5</v>
      </c>
      <c r="H647" s="104">
        <f>(J256+J337)-(J254+J335)</f>
        <v>113940.49999999999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333696.82999999996</v>
      </c>
      <c r="H648" s="104">
        <f>H597</f>
        <v>333696.82999999996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189798.41</v>
      </c>
      <c r="H650" s="104">
        <f>J597</f>
        <v>189798.40999999997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76280.009999999995</v>
      </c>
      <c r="H651" s="104">
        <f>K262+K344</f>
        <v>76280.009999999995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10937544.689999999</v>
      </c>
      <c r="G659" s="19">
        <f>(L228+L308+L358)</f>
        <v>0</v>
      </c>
      <c r="H659" s="19">
        <f>(L246+L327+L359)</f>
        <v>5112283.2</v>
      </c>
      <c r="I659" s="19">
        <f>SUM(F659:H659)</f>
        <v>16049827.890000001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96300.407537208084</v>
      </c>
      <c r="G660" s="19">
        <f>(L358/IF(SUM(L357:L359)=0,1,SUM(L357:L359))*(SUM(G96:G109)))</f>
        <v>0</v>
      </c>
      <c r="H660" s="19">
        <f>(L359/IF(SUM(L357:L359)=0,1,SUM(L357:L359))*(SUM(G96:G109)))</f>
        <v>61195.192462791892</v>
      </c>
      <c r="I660" s="19">
        <f>SUM(F660:H660)</f>
        <v>157495.59999999998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330444.30999999994</v>
      </c>
      <c r="G661" s="19">
        <f>(L225+L305)-(J225+J305)</f>
        <v>0</v>
      </c>
      <c r="H661" s="19">
        <f>(L243+L324)-(J243+J324)</f>
        <v>188337.15</v>
      </c>
      <c r="I661" s="19">
        <f>SUM(F661:H661)</f>
        <v>518781.45999999996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9"/>
      <c r="C662" s="169"/>
      <c r="D662" s="169"/>
      <c r="E662" s="169"/>
      <c r="F662" s="198">
        <f>SUM(F574:F586)+SUM(H601:H603)+SUM(L610)</f>
        <v>573185.17999999993</v>
      </c>
      <c r="G662" s="198">
        <f>SUM(G574:G586)+SUM(I601:I603)+L611</f>
        <v>0</v>
      </c>
      <c r="H662" s="198">
        <f>SUM(H574:H586)+SUM(J601:J603)+L612</f>
        <v>585414.66</v>
      </c>
      <c r="I662" s="19">
        <f>SUM(F662:H662)</f>
        <v>1158599.8399999999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9937614.7924627922</v>
      </c>
      <c r="G663" s="19">
        <f>G659-SUM(G660:G662)</f>
        <v>0</v>
      </c>
      <c r="H663" s="19">
        <f>H659-SUM(H660:H662)</f>
        <v>4277336.197537208</v>
      </c>
      <c r="I663" s="19">
        <f>I659-SUM(I660:I662)</f>
        <v>14214950.99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v>791.7</v>
      </c>
      <c r="G664" s="247"/>
      <c r="H664" s="247">
        <v>421.18</v>
      </c>
      <c r="I664" s="19">
        <f>SUM(F664:H664)</f>
        <v>1212.8800000000001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12552.25</v>
      </c>
      <c r="G666" s="19" t="e">
        <f>ROUND(G663/G664,2)</f>
        <v>#DIV/0!</v>
      </c>
      <c r="H666" s="19">
        <f>ROUND(H663/H664,2)</f>
        <v>10155.6</v>
      </c>
      <c r="I666" s="19">
        <f>ROUND(I663/I664,2)</f>
        <v>11720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-10.07</v>
      </c>
      <c r="I669" s="19">
        <f>SUM(F669:H669)</f>
        <v>-10.07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12552.25</v>
      </c>
      <c r="G671" s="19" t="e">
        <f>ROUND((G663+G668)/(G664+G669),2)</f>
        <v>#DIV/0!</v>
      </c>
      <c r="H671" s="19">
        <f>ROUND((H663+H668)/(H664+H669),2)</f>
        <v>10404.36</v>
      </c>
      <c r="I671" s="19">
        <f>ROUND((I663+I668)/(I664+I669),2)</f>
        <v>11818.12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11" sqref="J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FARMINGTON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5" t="s">
        <v>784</v>
      </c>
      <c r="B3" s="275"/>
      <c r="C3" s="275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4" t="s">
        <v>783</v>
      </c>
      <c r="C6" s="274"/>
    </row>
    <row r="7" spans="1:3" x14ac:dyDescent="0.2">
      <c r="A7" s="238" t="s">
        <v>786</v>
      </c>
      <c r="B7" s="272" t="s">
        <v>782</v>
      </c>
      <c r="C7" s="273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3458668.5199999996</v>
      </c>
      <c r="C9" s="228">
        <f>'DOE25'!G196+'DOE25'!G214+'DOE25'!G232+'DOE25'!G275+'DOE25'!G294+'DOE25'!G313</f>
        <v>1278541.3600000001</v>
      </c>
    </row>
    <row r="10" spans="1:3" x14ac:dyDescent="0.2">
      <c r="A10" t="s">
        <v>779</v>
      </c>
      <c r="B10" s="239">
        <v>3364834.82</v>
      </c>
      <c r="C10" s="239">
        <v>1275698.49</v>
      </c>
    </row>
    <row r="11" spans="1:3" x14ac:dyDescent="0.2">
      <c r="A11" t="s">
        <v>780</v>
      </c>
      <c r="B11" s="239">
        <f>150+675+645</f>
        <v>1470</v>
      </c>
      <c r="C11" s="239">
        <v>112.45</v>
      </c>
    </row>
    <row r="12" spans="1:3" x14ac:dyDescent="0.2">
      <c r="A12" t="s">
        <v>781</v>
      </c>
      <c r="B12" s="239">
        <f>27746+17235+9035.43+11226.95+17682.5+9437.82</f>
        <v>92363.700000000012</v>
      </c>
      <c r="C12" s="239">
        <f>179.84+4.61+50.13+6.56+2489.28</f>
        <v>2730.42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3458668.52</v>
      </c>
      <c r="C13" s="230">
        <f>SUM(C10:C12)</f>
        <v>1278541.3599999999</v>
      </c>
    </row>
    <row r="14" spans="1:3" x14ac:dyDescent="0.2">
      <c r="B14" s="229"/>
      <c r="C14" s="229"/>
    </row>
    <row r="15" spans="1:3" x14ac:dyDescent="0.2">
      <c r="B15" s="274" t="s">
        <v>783</v>
      </c>
      <c r="C15" s="274"/>
    </row>
    <row r="16" spans="1:3" x14ac:dyDescent="0.2">
      <c r="A16" s="238" t="s">
        <v>787</v>
      </c>
      <c r="B16" s="272" t="s">
        <v>707</v>
      </c>
      <c r="C16" s="273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2379943.7699999996</v>
      </c>
      <c r="C18" s="228">
        <f>'DOE25'!G197+'DOE25'!G215+'DOE25'!G233+'DOE25'!G276+'DOE25'!G295+'DOE25'!G314</f>
        <v>569224.36</v>
      </c>
    </row>
    <row r="19" spans="1:3" x14ac:dyDescent="0.2">
      <c r="A19" t="s">
        <v>779</v>
      </c>
      <c r="B19" s="239">
        <f>10323.3+770750.33+48278.58+69336.11+10208+111435.19+11232+3355.52+4105.52+26081.64+34852.38</f>
        <v>1099958.5699999998</v>
      </c>
      <c r="C19" s="239">
        <f>442643.51+4828.89+12661.12</f>
        <v>460133.52</v>
      </c>
    </row>
    <row r="20" spans="1:3" x14ac:dyDescent="0.2">
      <c r="A20" t="s">
        <v>780</v>
      </c>
      <c r="B20" s="239">
        <f>20217.21+40931.42+1029067.78+877.5+120989.21</f>
        <v>1212083.1199999999</v>
      </c>
      <c r="C20" s="239">
        <f>11171.98+92724.35</f>
        <v>103896.33</v>
      </c>
    </row>
    <row r="21" spans="1:3" x14ac:dyDescent="0.2">
      <c r="A21" t="s">
        <v>781</v>
      </c>
      <c r="B21" s="239">
        <f>2021.76+505.4+1132.5+72.75+1080+20857.5+42232.17</f>
        <v>67902.080000000002</v>
      </c>
      <c r="C21" s="239">
        <v>5194.51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2379943.7699999996</v>
      </c>
      <c r="C22" s="230">
        <f>SUM(C19:C21)</f>
        <v>569224.36</v>
      </c>
    </row>
    <row r="23" spans="1:3" x14ac:dyDescent="0.2">
      <c r="B23" s="229"/>
      <c r="C23" s="229"/>
    </row>
    <row r="24" spans="1:3" x14ac:dyDescent="0.2">
      <c r="B24" s="274" t="s">
        <v>783</v>
      </c>
      <c r="C24" s="274"/>
    </row>
    <row r="25" spans="1:3" x14ac:dyDescent="0.2">
      <c r="A25" s="238" t="s">
        <v>788</v>
      </c>
      <c r="B25" s="272" t="s">
        <v>708</v>
      </c>
      <c r="C25" s="273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8" t="s">
        <v>789</v>
      </c>
      <c r="B34" s="272" t="s">
        <v>709</v>
      </c>
      <c r="C34" s="273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194900.02000000002</v>
      </c>
      <c r="C36" s="234">
        <f>'DOE25'!G199+'DOE25'!G217+'DOE25'!G235+'DOE25'!G278+'DOE25'!G297+'DOE25'!G316</f>
        <v>35855.429999999993</v>
      </c>
    </row>
    <row r="37" spans="1:3" x14ac:dyDescent="0.2">
      <c r="A37" t="s">
        <v>779</v>
      </c>
      <c r="B37" s="239">
        <v>112583.71</v>
      </c>
      <c r="C37" s="239">
        <v>23422.74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f>-413.68+35968.36+36393.63+10368</f>
        <v>82316.31</v>
      </c>
      <c r="C39" s="239">
        <f>579.61+6473.93+3602.59+1776.56</f>
        <v>12432.69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194900.02000000002</v>
      </c>
      <c r="C40" s="230">
        <f>SUM(C37:C39)</f>
        <v>35855.43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0"/>
    </row>
    <row r="2" spans="1:9" x14ac:dyDescent="0.2">
      <c r="A2" s="33" t="s">
        <v>717</v>
      </c>
      <c r="B2" s="264" t="str">
        <f>'DOE25'!A2</f>
        <v>FARMINGTON SCHOOL DISTRICT</v>
      </c>
      <c r="C2" s="180"/>
      <c r="D2" s="180" t="s">
        <v>792</v>
      </c>
      <c r="E2" s="180" t="s">
        <v>794</v>
      </c>
      <c r="F2" s="276" t="s">
        <v>821</v>
      </c>
      <c r="G2" s="277"/>
      <c r="H2" s="278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8931838.5799999982</v>
      </c>
      <c r="D5" s="20">
        <f>SUM('DOE25'!L196:L199)+SUM('DOE25'!L214:L217)+SUM('DOE25'!L232:L235)-F5-G5</f>
        <v>8892270.3999999985</v>
      </c>
      <c r="E5" s="242"/>
      <c r="F5" s="254">
        <f>SUM('DOE25'!J196:J199)+SUM('DOE25'!J214:J217)+SUM('DOE25'!J232:J235)</f>
        <v>31888.11</v>
      </c>
      <c r="G5" s="53">
        <f>SUM('DOE25'!K196:K199)+SUM('DOE25'!K214:K217)+SUM('DOE25'!K232:K235)</f>
        <v>7680.07</v>
      </c>
      <c r="H5" s="258"/>
    </row>
    <row r="6" spans="1:9" x14ac:dyDescent="0.2">
      <c r="A6" s="32">
        <v>2100</v>
      </c>
      <c r="B6" t="s">
        <v>801</v>
      </c>
      <c r="C6" s="244">
        <f t="shared" si="0"/>
        <v>1090758.17</v>
      </c>
      <c r="D6" s="20">
        <f>'DOE25'!L201+'DOE25'!L219+'DOE25'!L237-F6-G6</f>
        <v>1089908.44</v>
      </c>
      <c r="E6" s="242"/>
      <c r="F6" s="254">
        <f>'DOE25'!J201+'DOE25'!J219+'DOE25'!J237</f>
        <v>849.73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357961.74</v>
      </c>
      <c r="D7" s="20">
        <f>'DOE25'!L202+'DOE25'!L220+'DOE25'!L238-F7-G7</f>
        <v>355616.3</v>
      </c>
      <c r="E7" s="242"/>
      <c r="F7" s="254">
        <f>'DOE25'!J202+'DOE25'!J220+'DOE25'!J238</f>
        <v>0</v>
      </c>
      <c r="G7" s="53">
        <f>'DOE25'!K202+'DOE25'!K220+'DOE25'!K238</f>
        <v>2345.44</v>
      </c>
      <c r="H7" s="258"/>
    </row>
    <row r="8" spans="1:9" x14ac:dyDescent="0.2">
      <c r="A8" s="32">
        <v>2300</v>
      </c>
      <c r="B8" t="s">
        <v>802</v>
      </c>
      <c r="C8" s="244">
        <f t="shared" si="0"/>
        <v>595395.43999999994</v>
      </c>
      <c r="D8" s="242"/>
      <c r="E8" s="20">
        <f>'DOE25'!L203+'DOE25'!L221+'DOE25'!L239-F8-G8-D9-D11</f>
        <v>589171.5</v>
      </c>
      <c r="F8" s="254">
        <f>'DOE25'!J203+'DOE25'!J221+'DOE25'!J239</f>
        <v>0</v>
      </c>
      <c r="G8" s="53">
        <f>'DOE25'!K203+'DOE25'!K221+'DOE25'!K239</f>
        <v>6223.9400000000005</v>
      </c>
      <c r="H8" s="258"/>
    </row>
    <row r="9" spans="1:9" x14ac:dyDescent="0.2">
      <c r="A9" s="32">
        <v>2310</v>
      </c>
      <c r="B9" t="s">
        <v>818</v>
      </c>
      <c r="C9" s="244">
        <f t="shared" si="0"/>
        <v>140461.04</v>
      </c>
      <c r="D9" s="243">
        <v>140461.04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15500</v>
      </c>
      <c r="D10" s="242"/>
      <c r="E10" s="243">
        <v>15500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240409.76</v>
      </c>
      <c r="D11" s="243">
        <f>210787+29622.76</f>
        <v>240409.76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854744.73</v>
      </c>
      <c r="D12" s="20">
        <f>'DOE25'!L204+'DOE25'!L222+'DOE25'!L240-F12-G12</f>
        <v>846678.30999999994</v>
      </c>
      <c r="E12" s="242"/>
      <c r="F12" s="254">
        <f>'DOE25'!J204+'DOE25'!J222+'DOE25'!J240</f>
        <v>2166.87</v>
      </c>
      <c r="G12" s="53">
        <f>'DOE25'!K204+'DOE25'!K222+'DOE25'!K240</f>
        <v>5899.55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2552.1999999999998</v>
      </c>
      <c r="D13" s="242"/>
      <c r="E13" s="20">
        <f>'DOE25'!L205+'DOE25'!L223+'DOE25'!L241-F13-G13</f>
        <v>1423.7499999999998</v>
      </c>
      <c r="F13" s="254">
        <f>'DOE25'!J205+'DOE25'!J223+'DOE25'!J241</f>
        <v>0</v>
      </c>
      <c r="G13" s="53">
        <f>'DOE25'!K205+'DOE25'!K223+'DOE25'!K241</f>
        <v>1128.45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1267821.6299999999</v>
      </c>
      <c r="D14" s="20">
        <f>'DOE25'!L206+'DOE25'!L224+'DOE25'!L242-F14-G14</f>
        <v>1246086.48</v>
      </c>
      <c r="E14" s="242"/>
      <c r="F14" s="254">
        <f>'DOE25'!J206+'DOE25'!J224+'DOE25'!J242</f>
        <v>21735.149999999998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523495.24</v>
      </c>
      <c r="D15" s="20">
        <f>'DOE25'!L207+'DOE25'!L225+'DOE25'!L243-F15-G15</f>
        <v>516082.33</v>
      </c>
      <c r="E15" s="242"/>
      <c r="F15" s="254">
        <f>'DOE25'!J207+'DOE25'!J225+'DOE25'!J243</f>
        <v>6213.66</v>
      </c>
      <c r="G15" s="53">
        <f>'DOE25'!K207+'DOE25'!K225+'DOE25'!K243</f>
        <v>1199.25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252968.62000000002</v>
      </c>
      <c r="D16" s="242"/>
      <c r="E16" s="20">
        <f>'DOE25'!L208+'DOE25'!L226+'DOE25'!L244-F16-G16</f>
        <v>243237.82000000004</v>
      </c>
      <c r="F16" s="254">
        <f>'DOE25'!J208+'DOE25'!J226+'DOE25'!J244</f>
        <v>6714.25</v>
      </c>
      <c r="G16" s="53">
        <f>'DOE25'!K208+'DOE25'!K226+'DOE25'!K244</f>
        <v>3016.55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298951.76</v>
      </c>
      <c r="D29" s="20">
        <f>'DOE25'!L357+'DOE25'!L358+'DOE25'!L359-'DOE25'!I366-F29-G29</f>
        <v>298951.76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1445998.06</v>
      </c>
      <c r="D31" s="20">
        <f>'DOE25'!L289+'DOE25'!L308+'DOE25'!L327+'DOE25'!L332+'DOE25'!L333+'DOE25'!L334-F31-G31</f>
        <v>1399388</v>
      </c>
      <c r="E31" s="242"/>
      <c r="F31" s="254">
        <f>'DOE25'!J289+'DOE25'!J308+'DOE25'!J327+'DOE25'!J332+'DOE25'!J333+'DOE25'!J334</f>
        <v>44372.729999999996</v>
      </c>
      <c r="G31" s="53">
        <f>'DOE25'!K289+'DOE25'!K308+'DOE25'!K327+'DOE25'!K332+'DOE25'!K333+'DOE25'!K334</f>
        <v>2237.33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15025852.819999998</v>
      </c>
      <c r="E33" s="245">
        <f>SUM(E5:E31)</f>
        <v>849333.07000000007</v>
      </c>
      <c r="F33" s="245">
        <f>SUM(F5:F31)</f>
        <v>113940.5</v>
      </c>
      <c r="G33" s="245">
        <f>SUM(G5:G31)</f>
        <v>29730.58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849333.07000000007</v>
      </c>
      <c r="E35" s="248"/>
    </row>
    <row r="36" spans="2:8" ht="12" thickTop="1" x14ac:dyDescent="0.2">
      <c r="B36" t="s">
        <v>815</v>
      </c>
      <c r="D36" s="20">
        <f>D33</f>
        <v>15025852.819999998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Normal="100" workbookViewId="0">
      <pane ySplit="2" topLeftCell="A84" activePane="bottomLeft" state="frozen"/>
      <selection pane="bottomLeft" activeCell="G95" sqref="G9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FARMINGTON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1195318.3700000001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591146.97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100000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1103964.5900000001</v>
      </c>
      <c r="D12" s="95">
        <f>'DOE25'!G13</f>
        <v>0</v>
      </c>
      <c r="E12" s="95">
        <f>'DOE25'!H13</f>
        <v>33700.129999999997</v>
      </c>
      <c r="F12" s="95">
        <f>'DOE25'!I13</f>
        <v>0</v>
      </c>
      <c r="G12" s="95">
        <f>'DOE25'!J13</f>
        <v>1719666.72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35476.18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43.06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2925906.1100000003</v>
      </c>
      <c r="D18" s="41">
        <f>SUM(D8:D17)</f>
        <v>43.06</v>
      </c>
      <c r="E18" s="41">
        <f>SUM(E8:E17)</f>
        <v>33700.129999999997</v>
      </c>
      <c r="F18" s="41">
        <f>SUM(F8:F17)</f>
        <v>0</v>
      </c>
      <c r="G18" s="41">
        <f>SUM(G8:G17)</f>
        <v>1819666.72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395972.16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658781.14</v>
      </c>
      <c r="D27" s="95">
        <f>'DOE25'!G28</f>
        <v>0</v>
      </c>
      <c r="E27" s="95">
        <f>'DOE25'!H28</f>
        <v>33700.129999999997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422612.5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1477365.8</v>
      </c>
      <c r="D31" s="41">
        <f>SUM(D21:D30)</f>
        <v>0</v>
      </c>
      <c r="E31" s="41">
        <f>SUM(E21:E30)</f>
        <v>33700.129999999997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43.06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1819666.72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161273.07999999999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1137267.23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1448540.31</v>
      </c>
      <c r="D49" s="41">
        <f>SUM(D34:D48)</f>
        <v>43.06</v>
      </c>
      <c r="E49" s="41">
        <f>SUM(E34:E48)</f>
        <v>0</v>
      </c>
      <c r="F49" s="41">
        <f>SUM(F34:F48)</f>
        <v>0</v>
      </c>
      <c r="G49" s="41">
        <f>SUM(G34:G48)</f>
        <v>1819666.72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2925906.1100000003</v>
      </c>
      <c r="D50" s="41">
        <f>D49+D31</f>
        <v>43.06</v>
      </c>
      <c r="E50" s="41">
        <f>E49+E31</f>
        <v>33700.129999999997</v>
      </c>
      <c r="F50" s="41">
        <f>F49+F31</f>
        <v>0</v>
      </c>
      <c r="G50" s="41">
        <f>G49+G31</f>
        <v>1819666.72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4670939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2962778.58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9148.65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1216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2129.35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154238.35999999999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66062.62</v>
      </c>
      <c r="D60" s="95">
        <f>SUM('DOE25'!G97:G109)</f>
        <v>3257.24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3039205.85</v>
      </c>
      <c r="D61" s="130">
        <f>SUM(D56:D60)</f>
        <v>157495.59999999998</v>
      </c>
      <c r="E61" s="130">
        <f>SUM(E56:E60)</f>
        <v>0</v>
      </c>
      <c r="F61" s="130">
        <f>SUM(F56:F60)</f>
        <v>0</v>
      </c>
      <c r="G61" s="130">
        <f>SUM(G56:G60)</f>
        <v>2129.35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7710144.8499999996</v>
      </c>
      <c r="D62" s="22">
        <f>D55+D61</f>
        <v>157495.59999999998</v>
      </c>
      <c r="E62" s="22">
        <f>E55+E61</f>
        <v>0</v>
      </c>
      <c r="F62" s="22">
        <f>F55+F61</f>
        <v>0</v>
      </c>
      <c r="G62" s="22">
        <f>G55+G61</f>
        <v>2129.35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6838255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1014518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7852773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154981.91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10808.83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6844.68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165790.74</v>
      </c>
      <c r="D77" s="130">
        <f>SUM(D71:D76)</f>
        <v>6844.68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8018563.7400000002</v>
      </c>
      <c r="D80" s="130">
        <f>SUM(D78:D79)+D77+D69</f>
        <v>6844.68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83681.100000000006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162842.93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126714.99</v>
      </c>
      <c r="D87" s="95">
        <f>SUM('DOE25'!G152:G160)</f>
        <v>316315.88</v>
      </c>
      <c r="E87" s="95">
        <f>SUM('DOE25'!H152:H160)</f>
        <v>1311430.1800000002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210396.09000000003</v>
      </c>
      <c r="D90" s="131">
        <f>SUM(D84:D89)</f>
        <v>316315.88</v>
      </c>
      <c r="E90" s="131">
        <f>SUM(E84:E89)</f>
        <v>1474273.11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76280.009999999995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76280.009999999995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15939104.68</v>
      </c>
      <c r="D103" s="86">
        <f>D62+D80+D90+D102</f>
        <v>556936.16999999993</v>
      </c>
      <c r="E103" s="86">
        <f>E62+E80+E90+E102</f>
        <v>1474273.11</v>
      </c>
      <c r="F103" s="86">
        <f>F62+F80+F90+F102</f>
        <v>0</v>
      </c>
      <c r="G103" s="86">
        <f>G62+G80+G102</f>
        <v>102129.35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4992135.1199999992</v>
      </c>
      <c r="D108" s="24" t="s">
        <v>289</v>
      </c>
      <c r="E108" s="95">
        <f>('DOE25'!L275)+('DOE25'!L294)+('DOE25'!L313)</f>
        <v>18485.64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3585810.11</v>
      </c>
      <c r="D109" s="24" t="s">
        <v>289</v>
      </c>
      <c r="E109" s="95">
        <f>('DOE25'!L276)+('DOE25'!L295)+('DOE25'!L314)</f>
        <v>636821.92999999993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72967.13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280926.22000000003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162537.28999999998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8931838.5800000001</v>
      </c>
      <c r="D114" s="86">
        <f>SUM(D108:D113)</f>
        <v>0</v>
      </c>
      <c r="E114" s="86">
        <f>SUM(E108:E113)</f>
        <v>817844.85999999987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1090758.17</v>
      </c>
      <c r="D117" s="24" t="s">
        <v>289</v>
      </c>
      <c r="E117" s="95">
        <f>+('DOE25'!L280)+('DOE25'!L299)+('DOE25'!L318)</f>
        <v>46178.86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357961.74</v>
      </c>
      <c r="D118" s="24" t="s">
        <v>289</v>
      </c>
      <c r="E118" s="95">
        <f>+('DOE25'!L281)+('DOE25'!L300)+('DOE25'!L319)</f>
        <v>358993.93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976266.23999999999</v>
      </c>
      <c r="D119" s="24" t="s">
        <v>289</v>
      </c>
      <c r="E119" s="95">
        <f>+('DOE25'!L282)+('DOE25'!L301)+('DOE25'!L320)</f>
        <v>221480.53000000003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854744.73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2552.1999999999998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1267821.6299999999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523495.24</v>
      </c>
      <c r="D123" s="24" t="s">
        <v>289</v>
      </c>
      <c r="E123" s="95">
        <f>+('DOE25'!L286)+('DOE25'!L305)+('DOE25'!L324)</f>
        <v>1499.88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252968.62000000002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507959.97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5326568.57</v>
      </c>
      <c r="D127" s="86">
        <f>SUM(D117:D126)</f>
        <v>507959.97</v>
      </c>
      <c r="E127" s="86">
        <f>SUM(E117:E126)</f>
        <v>628153.20000000007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76280.009999999995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1746.39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100382.95999999999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-2129.3499999999913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176280.01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14434687.16</v>
      </c>
      <c r="D144" s="86">
        <f>(D114+D127+D143)</f>
        <v>507959.97</v>
      </c>
      <c r="E144" s="86">
        <f>(E114+E127+E143)</f>
        <v>1445998.06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2/2013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08/01/2018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194488.72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2.68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194488.72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194488.72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194488.72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194488.72</v>
      </c>
    </row>
    <row r="159" spans="1:9" x14ac:dyDescent="0.2">
      <c r="A159" s="22" t="s">
        <v>36</v>
      </c>
      <c r="B159" s="137">
        <f>'DOE25'!F498</f>
        <v>13144.13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13144.13</v>
      </c>
    </row>
    <row r="160" spans="1:9" x14ac:dyDescent="0.2">
      <c r="A160" s="22" t="s">
        <v>37</v>
      </c>
      <c r="B160" s="137">
        <f>'DOE25'!F499</f>
        <v>207632.85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207632.85</v>
      </c>
    </row>
    <row r="161" spans="1:7" x14ac:dyDescent="0.2">
      <c r="A161" s="22" t="s">
        <v>38</v>
      </c>
      <c r="B161" s="137">
        <f>'DOE25'!F500</f>
        <v>41526.57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41526.57</v>
      </c>
    </row>
    <row r="162" spans="1:7" x14ac:dyDescent="0.2">
      <c r="A162" s="22" t="s">
        <v>39</v>
      </c>
      <c r="B162" s="137">
        <f>'DOE25'!F501</f>
        <v>2584.73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2584.73</v>
      </c>
    </row>
    <row r="163" spans="1:7" x14ac:dyDescent="0.2">
      <c r="A163" s="22" t="s">
        <v>246</v>
      </c>
      <c r="B163" s="137">
        <f>'DOE25'!F502</f>
        <v>44111.3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44111.3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6" t="s">
        <v>717</v>
      </c>
      <c r="B2" s="185" t="str">
        <f>'DOE25'!A2</f>
        <v>FARMINGTON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12552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10404</v>
      </c>
    </row>
    <row r="7" spans="1:4" x14ac:dyDescent="0.2">
      <c r="B7" t="s">
        <v>705</v>
      </c>
      <c r="C7" s="178">
        <f>IF('DOE25'!I664+'DOE25'!I669=0,0,ROUND('DOE25'!I671,0))</f>
        <v>11818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5010621</v>
      </c>
      <c r="D10" s="181">
        <f>ROUND((C10/$C$28)*100,1)</f>
        <v>31.2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4222632</v>
      </c>
      <c r="D11" s="181">
        <f>ROUND((C11/$C$28)*100,1)</f>
        <v>26.3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72967</v>
      </c>
      <c r="D12" s="181">
        <f>ROUND((C12/$C$28)*100,1)</f>
        <v>0.5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280926</v>
      </c>
      <c r="D13" s="181">
        <f>ROUND((C13/$C$28)*100,1)</f>
        <v>1.7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1136937</v>
      </c>
      <c r="D15" s="181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716956</v>
      </c>
      <c r="D16" s="181">
        <f t="shared" si="0"/>
        <v>4.5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1450715</v>
      </c>
      <c r="D17" s="181">
        <f t="shared" si="0"/>
        <v>9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854745</v>
      </c>
      <c r="D18" s="181">
        <f t="shared" si="0"/>
        <v>5.3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2552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1267822</v>
      </c>
      <c r="D20" s="181">
        <f t="shared" si="0"/>
        <v>7.9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524995</v>
      </c>
      <c r="D21" s="181">
        <f t="shared" si="0"/>
        <v>3.3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162537</v>
      </c>
      <c r="D24" s="181">
        <f t="shared" si="0"/>
        <v>1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350464.4</v>
      </c>
      <c r="D27" s="181">
        <f t="shared" si="0"/>
        <v>2.2000000000000002</v>
      </c>
    </row>
    <row r="28" spans="1:4" x14ac:dyDescent="0.2">
      <c r="B28" s="186" t="s">
        <v>723</v>
      </c>
      <c r="C28" s="179">
        <f>SUM(C10:C27)</f>
        <v>16054869.4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16054869.4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4670939</v>
      </c>
      <c r="D35" s="181">
        <f t="shared" ref="D35:D40" si="1">ROUND((C35/$C$41)*100,1)</f>
        <v>26.3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3041335.2</v>
      </c>
      <c r="D36" s="181">
        <f t="shared" si="1"/>
        <v>17.100000000000001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7852773</v>
      </c>
      <c r="D37" s="181">
        <f t="shared" si="1"/>
        <v>44.3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172635</v>
      </c>
      <c r="D38" s="181">
        <f t="shared" si="1"/>
        <v>1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2000985</v>
      </c>
      <c r="D39" s="181">
        <f t="shared" si="1"/>
        <v>11.3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17738667.199999999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2"/>
      <c r="K1" s="212"/>
      <c r="L1" s="212"/>
      <c r="M1" s="213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>FARMINGTON SCHOOL DISTRICT</v>
      </c>
      <c r="G2" s="293"/>
      <c r="H2" s="293"/>
      <c r="I2" s="293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7"/>
      <c r="B4" s="218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0"/>
      <c r="O29" s="210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6"/>
      <c r="AB29" s="206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6"/>
      <c r="AO29" s="206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6"/>
      <c r="BB29" s="206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6"/>
      <c r="BO29" s="206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6"/>
      <c r="CB29" s="206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6"/>
      <c r="CO29" s="206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6"/>
      <c r="DB29" s="206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6"/>
      <c r="DO29" s="206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6"/>
      <c r="EB29" s="206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6"/>
      <c r="EO29" s="206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6"/>
      <c r="FB29" s="206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6"/>
      <c r="FO29" s="206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6"/>
      <c r="GB29" s="206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6"/>
      <c r="GO29" s="206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6"/>
      <c r="HB29" s="206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6"/>
      <c r="HO29" s="206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6"/>
      <c r="IB29" s="206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6"/>
      <c r="IO29" s="206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7"/>
      <c r="B30" s="218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0"/>
      <c r="O30" s="210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6"/>
      <c r="AB30" s="206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6"/>
      <c r="AO30" s="206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6"/>
      <c r="BB30" s="206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6"/>
      <c r="BO30" s="206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6"/>
      <c r="CB30" s="206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6"/>
      <c r="CO30" s="206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6"/>
      <c r="DB30" s="206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6"/>
      <c r="DO30" s="206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6"/>
      <c r="EB30" s="206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6"/>
      <c r="EO30" s="206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6"/>
      <c r="FB30" s="206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6"/>
      <c r="FO30" s="206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6"/>
      <c r="GB30" s="206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6"/>
      <c r="GO30" s="206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6"/>
      <c r="HB30" s="206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6"/>
      <c r="HO30" s="206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6"/>
      <c r="IB30" s="206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6"/>
      <c r="IO30" s="206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7"/>
      <c r="B31" s="218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0"/>
      <c r="O31" s="210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6"/>
      <c r="AB31" s="206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6"/>
      <c r="AO31" s="206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6"/>
      <c r="BB31" s="206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6"/>
      <c r="BO31" s="206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6"/>
      <c r="CB31" s="206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6"/>
      <c r="CO31" s="206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6"/>
      <c r="DB31" s="206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6"/>
      <c r="DO31" s="206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6"/>
      <c r="EB31" s="206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6"/>
      <c r="EO31" s="206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6"/>
      <c r="FB31" s="206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6"/>
      <c r="FO31" s="206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6"/>
      <c r="GB31" s="206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6"/>
      <c r="GO31" s="206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6"/>
      <c r="HB31" s="206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6"/>
      <c r="HO31" s="206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6"/>
      <c r="IB31" s="206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6"/>
      <c r="IO31" s="206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7"/>
      <c r="B32" s="218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2"/>
      <c r="O32" s="222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7"/>
      <c r="AB32" s="218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7"/>
      <c r="AO32" s="218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7"/>
      <c r="BB32" s="218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7"/>
      <c r="BO32" s="218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7"/>
      <c r="CB32" s="218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7"/>
      <c r="CO32" s="218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7"/>
      <c r="DB32" s="218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7"/>
      <c r="DO32" s="218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7"/>
      <c r="EB32" s="218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7"/>
      <c r="EO32" s="218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7"/>
      <c r="FB32" s="218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7"/>
      <c r="FO32" s="218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7"/>
      <c r="GB32" s="218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7"/>
      <c r="GO32" s="218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7"/>
      <c r="HB32" s="218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7"/>
      <c r="HO32" s="218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7"/>
      <c r="IB32" s="218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7"/>
      <c r="IO32" s="218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7"/>
      <c r="B33" s="218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0"/>
      <c r="O38" s="210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6"/>
      <c r="AB38" s="206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6"/>
      <c r="AO38" s="206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6"/>
      <c r="BB38" s="206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6"/>
      <c r="BO38" s="206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6"/>
      <c r="CB38" s="206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6"/>
      <c r="CO38" s="206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6"/>
      <c r="DB38" s="206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6"/>
      <c r="DO38" s="206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6"/>
      <c r="EB38" s="206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6"/>
      <c r="EO38" s="206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6"/>
      <c r="FB38" s="206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6"/>
      <c r="FO38" s="206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6"/>
      <c r="GB38" s="206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6"/>
      <c r="GO38" s="206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6"/>
      <c r="HB38" s="206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6"/>
      <c r="HO38" s="206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6"/>
      <c r="IB38" s="206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6"/>
      <c r="IO38" s="206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7"/>
      <c r="B39" s="218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0"/>
      <c r="O39" s="210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6"/>
      <c r="AB39" s="206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6"/>
      <c r="AO39" s="206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6"/>
      <c r="BB39" s="206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6"/>
      <c r="BO39" s="206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6"/>
      <c r="CB39" s="206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6"/>
      <c r="CO39" s="206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6"/>
      <c r="DB39" s="206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6"/>
      <c r="DO39" s="206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6"/>
      <c r="EB39" s="206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6"/>
      <c r="EO39" s="206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6"/>
      <c r="FB39" s="206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6"/>
      <c r="FO39" s="206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6"/>
      <c r="GB39" s="206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6"/>
      <c r="GO39" s="206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6"/>
      <c r="HB39" s="206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6"/>
      <c r="HO39" s="206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6"/>
      <c r="IB39" s="206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6"/>
      <c r="IO39" s="206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7"/>
      <c r="B40" s="218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0"/>
      <c r="O40" s="210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6"/>
      <c r="AB40" s="206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6"/>
      <c r="AO40" s="206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6"/>
      <c r="BB40" s="206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6"/>
      <c r="BO40" s="206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6"/>
      <c r="CB40" s="206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6"/>
      <c r="CO40" s="206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6"/>
      <c r="DB40" s="206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6"/>
      <c r="DO40" s="206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6"/>
      <c r="EB40" s="206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6"/>
      <c r="EO40" s="206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6"/>
      <c r="FB40" s="206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6"/>
      <c r="FO40" s="206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6"/>
      <c r="GB40" s="206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6"/>
      <c r="GO40" s="206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6"/>
      <c r="HB40" s="206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6"/>
      <c r="HO40" s="206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6"/>
      <c r="IB40" s="206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6"/>
      <c r="IO40" s="206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7"/>
      <c r="B41" s="218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7"/>
      <c r="B60" s="218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7"/>
      <c r="B61" s="218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7"/>
      <c r="B62" s="218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7"/>
      <c r="B63" s="218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7"/>
      <c r="B64" s="218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7"/>
      <c r="B65" s="218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7"/>
      <c r="B66" s="218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7"/>
      <c r="B67" s="218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7"/>
      <c r="B68" s="218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7"/>
      <c r="B69" s="21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9"/>
      <c r="B70" s="220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0"/>
      <c r="B74" s="210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0"/>
      <c r="B75" s="210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0"/>
      <c r="B76" s="210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0"/>
      <c r="B77" s="210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0"/>
      <c r="B78" s="210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0"/>
      <c r="B79" s="210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0"/>
      <c r="B80" s="210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0"/>
      <c r="B81" s="210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0"/>
      <c r="B82" s="210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0"/>
      <c r="B83" s="210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0"/>
      <c r="B84" s="210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0"/>
      <c r="B85" s="210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0"/>
      <c r="B86" s="210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0"/>
      <c r="B87" s="210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0"/>
      <c r="B88" s="210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0"/>
      <c r="B89" s="210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0"/>
      <c r="B90" s="210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2013-11-13T19:37:40Z</cp:lastPrinted>
  <dcterms:created xsi:type="dcterms:W3CDTF">1997-12-04T19:04:30Z</dcterms:created>
  <dcterms:modified xsi:type="dcterms:W3CDTF">2013-12-05T18:40:30Z</dcterms:modified>
</cp:coreProperties>
</file>