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38" i="12" l="1"/>
  <c r="B37" i="12"/>
  <c r="K522" i="1"/>
  <c r="J522" i="1"/>
  <c r="I522" i="1"/>
  <c r="H522" i="1"/>
  <c r="G522" i="1"/>
  <c r="F522" i="1"/>
  <c r="K521" i="1"/>
  <c r="J521" i="1"/>
  <c r="I521" i="1"/>
  <c r="H521" i="1"/>
  <c r="G521" i="1"/>
  <c r="F521" i="1"/>
  <c r="K520" i="1"/>
  <c r="J520" i="1"/>
  <c r="I520" i="1"/>
  <c r="H520" i="1"/>
  <c r="G520" i="1"/>
  <c r="F520" i="1"/>
  <c r="G96" i="1"/>
  <c r="J603" i="1"/>
  <c r="I603" i="1"/>
  <c r="H603" i="1"/>
  <c r="G16" i="1"/>
  <c r="G30" i="1"/>
  <c r="G29" i="1"/>
  <c r="G9" i="1"/>
  <c r="G471" i="1"/>
  <c r="F471" i="1"/>
  <c r="F109" i="1"/>
  <c r="F29" i="1"/>
  <c r="G500" i="1"/>
  <c r="G498" i="1"/>
  <c r="G497" i="1"/>
  <c r="G494" i="1"/>
  <c r="F498" i="1"/>
  <c r="F497" i="1"/>
  <c r="K240" i="1" l="1"/>
  <c r="K260" i="1"/>
  <c r="K259" i="1"/>
  <c r="K239" i="1"/>
  <c r="K203" i="1"/>
  <c r="H203" i="1"/>
  <c r="G203" i="1"/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C19" i="10" s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D17" i="13" s="1"/>
  <c r="F18" i="13"/>
  <c r="G18" i="13"/>
  <c r="L251" i="1"/>
  <c r="C113" i="2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B1" i="12"/>
  <c r="L386" i="1"/>
  <c r="L392" i="1" s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 s="1"/>
  <c r="C139" i="2" s="1"/>
  <c r="L265" i="1"/>
  <c r="J59" i="1"/>
  <c r="G55" i="2" s="1"/>
  <c r="G58" i="2"/>
  <c r="G60" i="2"/>
  <c r="F2" i="11"/>
  <c r="L612" i="1"/>
  <c r="H662" i="1"/>
  <c r="L611" i="1"/>
  <c r="G662" i="1"/>
  <c r="L610" i="1"/>
  <c r="F662" i="1"/>
  <c r="C40" i="10"/>
  <c r="F59" i="1"/>
  <c r="G59" i="1"/>
  <c r="H59" i="1"/>
  <c r="H111" i="1" s="1"/>
  <c r="I59" i="1"/>
  <c r="F55" i="2"/>
  <c r="F78" i="1"/>
  <c r="F93" i="1"/>
  <c r="C57" i="2" s="1"/>
  <c r="F110" i="1"/>
  <c r="G110" i="1"/>
  <c r="H78" i="1"/>
  <c r="H93" i="1"/>
  <c r="H110" i="1"/>
  <c r="I110" i="1"/>
  <c r="I111" i="1" s="1"/>
  <c r="J110" i="1"/>
  <c r="F120" i="1"/>
  <c r="F135" i="1"/>
  <c r="G120" i="1"/>
  <c r="G135" i="1"/>
  <c r="H120" i="1"/>
  <c r="H135" i="1"/>
  <c r="I120" i="1"/>
  <c r="I135" i="1"/>
  <c r="J120" i="1"/>
  <c r="J135" i="1"/>
  <c r="J139" i="1" s="1"/>
  <c r="F146" i="1"/>
  <c r="F161" i="1"/>
  <c r="G146" i="1"/>
  <c r="G161" i="1"/>
  <c r="G168" i="1" s="1"/>
  <c r="H146" i="1"/>
  <c r="H161" i="1"/>
  <c r="I146" i="1"/>
  <c r="I161" i="1"/>
  <c r="I168" i="1"/>
  <c r="C11" i="10"/>
  <c r="C13" i="10"/>
  <c r="C16" i="10"/>
  <c r="L249" i="1"/>
  <c r="C112" i="2" s="1"/>
  <c r="L331" i="1"/>
  <c r="L253" i="1"/>
  <c r="C24" i="10" s="1"/>
  <c r="L267" i="1"/>
  <c r="L268" i="1"/>
  <c r="C142" i="2" s="1"/>
  <c r="L348" i="1"/>
  <c r="L349" i="1"/>
  <c r="E142" i="2"/>
  <c r="I664" i="1"/>
  <c r="I669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50" i="1" s="1"/>
  <c r="L345" i="1"/>
  <c r="L346" i="1"/>
  <c r="K350" i="1"/>
  <c r="L520" i="1"/>
  <c r="F548" i="1" s="1"/>
  <c r="L521" i="1"/>
  <c r="F549" i="1" s="1"/>
  <c r="L522" i="1"/>
  <c r="F550" i="1" s="1"/>
  <c r="L525" i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L269" i="1" s="1"/>
  <c r="F269" i="1"/>
  <c r="C131" i="2"/>
  <c r="C130" i="2"/>
  <c r="A1" i="2"/>
  <c r="A2" i="2"/>
  <c r="C8" i="2"/>
  <c r="D8" i="2"/>
  <c r="E8" i="2"/>
  <c r="F8" i="2"/>
  <c r="I438" i="1"/>
  <c r="C9" i="2"/>
  <c r="D9" i="2"/>
  <c r="E9" i="2"/>
  <c r="F9" i="2"/>
  <c r="I439" i="1"/>
  <c r="J10" i="1" s="1"/>
  <c r="C10" i="2"/>
  <c r="C18" i="2" s="1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 s="1"/>
  <c r="C21" i="2"/>
  <c r="D21" i="2"/>
  <c r="E21" i="2"/>
  <c r="F21" i="2"/>
  <c r="I447" i="1"/>
  <c r="C22" i="2"/>
  <c r="D22" i="2"/>
  <c r="E22" i="2"/>
  <c r="F22" i="2"/>
  <c r="I448" i="1"/>
  <c r="J23" i="1" s="1"/>
  <c r="C23" i="2"/>
  <c r="D23" i="2"/>
  <c r="E23" i="2"/>
  <c r="E31" i="2" s="1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I456" i="1"/>
  <c r="J37" i="1"/>
  <c r="G36" i="2" s="1"/>
  <c r="I458" i="1"/>
  <c r="J47" i="1"/>
  <c r="G46" i="2" s="1"/>
  <c r="C48" i="2"/>
  <c r="C55" i="2"/>
  <c r="D55" i="2"/>
  <c r="E55" i="2"/>
  <c r="C56" i="2"/>
  <c r="E56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C69" i="2" s="1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14" i="2" s="1"/>
  <c r="C109" i="2"/>
  <c r="E109" i="2"/>
  <c r="E110" i="2"/>
  <c r="C111" i="2"/>
  <c r="E111" i="2"/>
  <c r="E112" i="2"/>
  <c r="E113" i="2"/>
  <c r="D114" i="2"/>
  <c r="F114" i="2"/>
  <c r="G114" i="2"/>
  <c r="E117" i="2"/>
  <c r="E118" i="2"/>
  <c r="E119" i="2"/>
  <c r="E120" i="2"/>
  <c r="E121" i="2"/>
  <c r="E122" i="2"/>
  <c r="E123" i="2"/>
  <c r="E124" i="2"/>
  <c r="F127" i="2"/>
  <c r="G127" i="2"/>
  <c r="C129" i="2"/>
  <c r="E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G158" i="2" s="1"/>
  <c r="B159" i="2"/>
  <c r="C159" i="2"/>
  <c r="D159" i="2"/>
  <c r="E159" i="2"/>
  <c r="F159" i="2"/>
  <c r="F499" i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I19" i="1"/>
  <c r="G619" i="1" s="1"/>
  <c r="F32" i="1"/>
  <c r="G32" i="1"/>
  <c r="H32" i="1"/>
  <c r="I32" i="1"/>
  <c r="F50" i="1"/>
  <c r="G50" i="1"/>
  <c r="G51" i="1" s="1"/>
  <c r="H617" i="1" s="1"/>
  <c r="J617" i="1" s="1"/>
  <c r="H50" i="1"/>
  <c r="H51" i="1"/>
  <c r="H618" i="1" s="1"/>
  <c r="I50" i="1"/>
  <c r="F176" i="1"/>
  <c r="I176" i="1"/>
  <c r="F182" i="1"/>
  <c r="G182" i="1"/>
  <c r="H182" i="1"/>
  <c r="I182" i="1"/>
  <c r="J182" i="1"/>
  <c r="J191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J633" i="1" s="1"/>
  <c r="L380" i="1"/>
  <c r="L381" i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F433" i="1"/>
  <c r="G426" i="1"/>
  <c r="H426" i="1"/>
  <c r="I426" i="1"/>
  <c r="I433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G640" i="1" s="1"/>
  <c r="F451" i="1"/>
  <c r="F460" i="1" s="1"/>
  <c r="G451" i="1"/>
  <c r="H451" i="1"/>
  <c r="H460" i="1" s="1"/>
  <c r="H640" i="1" s="1"/>
  <c r="J640" i="1" s="1"/>
  <c r="F459" i="1"/>
  <c r="G459" i="1"/>
  <c r="G460" i="1" s="1"/>
  <c r="H639" i="1" s="1"/>
  <c r="H459" i="1"/>
  <c r="I459" i="1"/>
  <c r="H469" i="1"/>
  <c r="H475" i="1" s="1"/>
  <c r="H623" i="1" s="1"/>
  <c r="J623" i="1" s="1"/>
  <c r="I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L559" i="1" s="1"/>
  <c r="F559" i="1"/>
  <c r="G559" i="1"/>
  <c r="H559" i="1"/>
  <c r="H570" i="1" s="1"/>
  <c r="I559" i="1"/>
  <c r="J559" i="1"/>
  <c r="K559" i="1"/>
  <c r="L561" i="1"/>
  <c r="L562" i="1"/>
  <c r="L563" i="1"/>
  <c r="L564" i="1" s="1"/>
  <c r="F564" i="1"/>
  <c r="G564" i="1"/>
  <c r="H564" i="1"/>
  <c r="I564" i="1"/>
  <c r="J564" i="1"/>
  <c r="K564" i="1"/>
  <c r="L566" i="1"/>
  <c r="L567" i="1"/>
  <c r="L568" i="1"/>
  <c r="L569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J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8" i="1"/>
  <c r="G622" i="1"/>
  <c r="G623" i="1"/>
  <c r="H628" i="1"/>
  <c r="H629" i="1"/>
  <c r="H631" i="1"/>
  <c r="H632" i="1"/>
  <c r="G633" i="1"/>
  <c r="H634" i="1"/>
  <c r="H635" i="1"/>
  <c r="H637" i="1"/>
  <c r="G638" i="1"/>
  <c r="H638" i="1"/>
  <c r="J638" i="1"/>
  <c r="G642" i="1"/>
  <c r="J642" i="1" s="1"/>
  <c r="G643" i="1"/>
  <c r="G644" i="1"/>
  <c r="J644" i="1"/>
  <c r="H644" i="1"/>
  <c r="G649" i="1"/>
  <c r="G650" i="1"/>
  <c r="G651" i="1"/>
  <c r="H651" i="1"/>
  <c r="G652" i="1"/>
  <c r="H652" i="1"/>
  <c r="G653" i="1"/>
  <c r="H653" i="1"/>
  <c r="H654" i="1"/>
  <c r="F191" i="1"/>
  <c r="G163" i="2"/>
  <c r="C26" i="10"/>
  <c r="L327" i="1"/>
  <c r="D12" i="13"/>
  <c r="C12" i="13" s="1"/>
  <c r="E49" i="2"/>
  <c r="D18" i="13"/>
  <c r="C18" i="13"/>
  <c r="D7" i="13"/>
  <c r="C7" i="13" s="1"/>
  <c r="E18" i="2"/>
  <c r="C17" i="13"/>
  <c r="D6" i="13"/>
  <c r="C6" i="13" s="1"/>
  <c r="F61" i="2"/>
  <c r="D31" i="2"/>
  <c r="D49" i="2"/>
  <c r="G156" i="2"/>
  <c r="F49" i="2"/>
  <c r="G162" i="2"/>
  <c r="E102" i="2"/>
  <c r="E61" i="2"/>
  <c r="E62" i="2" s="1"/>
  <c r="E103" i="2" s="1"/>
  <c r="C31" i="2"/>
  <c r="G61" i="2"/>
  <c r="D19" i="13"/>
  <c r="C19" i="13"/>
  <c r="E77" i="2"/>
  <c r="E80" i="2"/>
  <c r="F111" i="1"/>
  <c r="K570" i="1"/>
  <c r="H168" i="1"/>
  <c r="I475" i="1"/>
  <c r="H624" i="1"/>
  <c r="G337" i="1"/>
  <c r="G351" i="1" s="1"/>
  <c r="F168" i="1"/>
  <c r="C39" i="10" s="1"/>
  <c r="G22" i="2"/>
  <c r="H139" i="1"/>
  <c r="A13" i="12"/>
  <c r="F22" i="13"/>
  <c r="C22" i="13" s="1"/>
  <c r="J544" i="1"/>
  <c r="H337" i="1"/>
  <c r="H351" i="1"/>
  <c r="F337" i="1"/>
  <c r="F351" i="1"/>
  <c r="G191" i="1"/>
  <c r="L308" i="1"/>
  <c r="D5" i="13"/>
  <c r="C49" i="2"/>
  <c r="J654" i="1"/>
  <c r="J635" i="1"/>
  <c r="G544" i="1"/>
  <c r="G31" i="13"/>
  <c r="G33" i="13"/>
  <c r="I191" i="1"/>
  <c r="E90" i="2"/>
  <c r="J653" i="1"/>
  <c r="J652" i="1"/>
  <c r="J433" i="1"/>
  <c r="K433" i="1"/>
  <c r="G133" i="2" s="1"/>
  <c r="G143" i="2" s="1"/>
  <c r="G144" i="2" s="1"/>
  <c r="F31" i="13"/>
  <c r="G139" i="1"/>
  <c r="G42" i="2"/>
  <c r="J50" i="1"/>
  <c r="G625" i="1" s="1"/>
  <c r="G16" i="2"/>
  <c r="F33" i="13"/>
  <c r="F544" i="1"/>
  <c r="J618" i="1"/>
  <c r="D102" i="2"/>
  <c r="I139" i="1"/>
  <c r="J651" i="1"/>
  <c r="G433" i="1"/>
  <c r="I662" i="1"/>
  <c r="C5" i="13"/>
  <c r="L426" i="1"/>
  <c r="H433" i="1"/>
  <c r="L418" i="1"/>
  <c r="F31" i="2"/>
  <c r="D18" i="2"/>
  <c r="F570" i="1"/>
  <c r="L255" i="1"/>
  <c r="F256" i="1"/>
  <c r="F270" i="1" s="1"/>
  <c r="G161" i="2"/>
  <c r="E143" i="2"/>
  <c r="G102" i="2"/>
  <c r="C102" i="2"/>
  <c r="D90" i="2"/>
  <c r="C77" i="2"/>
  <c r="C80" i="2" s="1"/>
  <c r="F77" i="2"/>
  <c r="F80" i="2"/>
  <c r="E50" i="2"/>
  <c r="K544" i="1"/>
  <c r="L336" i="1"/>
  <c r="H191" i="1"/>
  <c r="H192" i="1" s="1"/>
  <c r="G628" i="1" s="1"/>
  <c r="J628" i="1" s="1"/>
  <c r="F51" i="1"/>
  <c r="H616" i="1" s="1"/>
  <c r="J616" i="1" s="1"/>
  <c r="G621" i="1"/>
  <c r="B160" i="2"/>
  <c r="G160" i="2" s="1"/>
  <c r="K499" i="1"/>
  <c r="J9" i="1"/>
  <c r="I445" i="1"/>
  <c r="G641" i="1" s="1"/>
  <c r="G548" i="1"/>
  <c r="G62" i="2"/>
  <c r="G103" i="2" s="1"/>
  <c r="C137" i="2"/>
  <c r="L533" i="1"/>
  <c r="K502" i="1"/>
  <c r="I337" i="1"/>
  <c r="I351" i="1" s="1"/>
  <c r="J22" i="1"/>
  <c r="I451" i="1"/>
  <c r="I460" i="1" s="1"/>
  <c r="H641" i="1" s="1"/>
  <c r="F18" i="2"/>
  <c r="F62" i="2"/>
  <c r="L289" i="1"/>
  <c r="C21" i="10"/>
  <c r="C123" i="2"/>
  <c r="G648" i="1"/>
  <c r="F661" i="1"/>
  <c r="D14" i="13"/>
  <c r="C14" i="13" s="1"/>
  <c r="C122" i="2"/>
  <c r="C117" i="2"/>
  <c r="C15" i="10"/>
  <c r="C12" i="10"/>
  <c r="C110" i="2"/>
  <c r="C121" i="2"/>
  <c r="C35" i="10"/>
  <c r="J570" i="1"/>
  <c r="L543" i="1"/>
  <c r="C25" i="10"/>
  <c r="A40" i="12"/>
  <c r="E13" i="13"/>
  <c r="C13" i="13" s="1"/>
  <c r="F50" i="2"/>
  <c r="D15" i="13"/>
  <c r="C15" i="13" s="1"/>
  <c r="H646" i="1"/>
  <c r="G157" i="2"/>
  <c r="F90" i="2"/>
  <c r="F129" i="2"/>
  <c r="F143" i="2" s="1"/>
  <c r="F144" i="2" s="1"/>
  <c r="C20" i="10"/>
  <c r="G111" i="1"/>
  <c r="G192" i="1" s="1"/>
  <c r="J337" i="1"/>
  <c r="J351" i="1"/>
  <c r="D126" i="2"/>
  <c r="D127" i="2" s="1"/>
  <c r="D144" i="2" s="1"/>
  <c r="H661" i="1"/>
  <c r="I661" i="1" s="1"/>
  <c r="C120" i="2"/>
  <c r="L210" i="1"/>
  <c r="C108" i="2"/>
  <c r="C114" i="2"/>
  <c r="C10" i="10"/>
  <c r="C17" i="10"/>
  <c r="E8" i="13"/>
  <c r="C8" i="13" s="1"/>
  <c r="G21" i="2"/>
  <c r="G31" i="2" s="1"/>
  <c r="J32" i="1"/>
  <c r="J51" i="1"/>
  <c r="H620" i="1" s="1"/>
  <c r="L337" i="1"/>
  <c r="L351" i="1" s="1"/>
  <c r="G632" i="1" s="1"/>
  <c r="J632" i="1" s="1"/>
  <c r="D31" i="13"/>
  <c r="C31" i="13" s="1"/>
  <c r="G8" i="2"/>
  <c r="H544" i="1" l="1"/>
  <c r="L528" i="1"/>
  <c r="G551" i="1"/>
  <c r="H551" i="1"/>
  <c r="L544" i="1"/>
  <c r="K550" i="1"/>
  <c r="J551" i="1"/>
  <c r="I544" i="1"/>
  <c r="F551" i="1"/>
  <c r="K548" i="1"/>
  <c r="G627" i="1"/>
  <c r="G467" i="1"/>
  <c r="G49" i="2"/>
  <c r="G9" i="2"/>
  <c r="J19" i="1"/>
  <c r="G620" i="1" s="1"/>
  <c r="G18" i="2"/>
  <c r="J641" i="1"/>
  <c r="L400" i="1"/>
  <c r="H407" i="1"/>
  <c r="H643" i="1" s="1"/>
  <c r="J643" i="1" s="1"/>
  <c r="D50" i="2"/>
  <c r="C61" i="2"/>
  <c r="C62" i="2" s="1"/>
  <c r="F139" i="1"/>
  <c r="C38" i="10"/>
  <c r="F192" i="1"/>
  <c r="F467" i="1" s="1"/>
  <c r="F469" i="1" s="1"/>
  <c r="F475" i="1" s="1"/>
  <c r="H621" i="1" s="1"/>
  <c r="J621" i="1" s="1"/>
  <c r="C90" i="2"/>
  <c r="H626" i="1"/>
  <c r="C50" i="2"/>
  <c r="J649" i="1"/>
  <c r="K597" i="1"/>
  <c r="G646" i="1" s="1"/>
  <c r="J646" i="1" s="1"/>
  <c r="J648" i="1"/>
  <c r="G159" i="2"/>
  <c r="L361" i="1"/>
  <c r="G634" i="1" s="1"/>
  <c r="J634" i="1" s="1"/>
  <c r="C27" i="10"/>
  <c r="H660" i="1"/>
  <c r="D29" i="13"/>
  <c r="C29" i="13" s="1"/>
  <c r="G660" i="1"/>
  <c r="F660" i="1"/>
  <c r="H25" i="13"/>
  <c r="C29" i="10"/>
  <c r="C124" i="2"/>
  <c r="E16" i="13"/>
  <c r="C16" i="13" s="1"/>
  <c r="C18" i="10"/>
  <c r="J256" i="1"/>
  <c r="J270" i="1" s="1"/>
  <c r="L246" i="1"/>
  <c r="H659" i="1" s="1"/>
  <c r="H663" i="1" s="1"/>
  <c r="H666" i="1" s="1"/>
  <c r="C119" i="2"/>
  <c r="H256" i="1"/>
  <c r="H270" i="1" s="1"/>
  <c r="C118" i="2"/>
  <c r="C127" i="2" s="1"/>
  <c r="A31" i="12"/>
  <c r="L228" i="1"/>
  <c r="G659" i="1" s="1"/>
  <c r="H647" i="1"/>
  <c r="J647" i="1" s="1"/>
  <c r="I256" i="1"/>
  <c r="I270" i="1" s="1"/>
  <c r="K256" i="1"/>
  <c r="K270" i="1" s="1"/>
  <c r="J620" i="1"/>
  <c r="L570" i="1"/>
  <c r="G50" i="2"/>
  <c r="I570" i="1"/>
  <c r="G570" i="1"/>
  <c r="L432" i="1"/>
  <c r="L433" i="1" s="1"/>
  <c r="G637" i="1" s="1"/>
  <c r="J637" i="1" s="1"/>
  <c r="I51" i="1"/>
  <c r="H619" i="1" s="1"/>
  <c r="J619" i="1" s="1"/>
  <c r="G624" i="1"/>
  <c r="J624" i="1" s="1"/>
  <c r="G155" i="2"/>
  <c r="E127" i="2"/>
  <c r="E144" i="2" s="1"/>
  <c r="F102" i="2"/>
  <c r="F103" i="2" s="1"/>
  <c r="K549" i="1"/>
  <c r="K551" i="1" s="1"/>
  <c r="F659" i="1"/>
  <c r="D33" i="13"/>
  <c r="D36" i="13" s="1"/>
  <c r="J639" i="1"/>
  <c r="G256" i="1"/>
  <c r="G270" i="1" s="1"/>
  <c r="D61" i="2"/>
  <c r="D62" i="2" s="1"/>
  <c r="D103" i="2" s="1"/>
  <c r="I551" i="1"/>
  <c r="I192" i="1"/>
  <c r="G629" i="1" s="1"/>
  <c r="J629" i="1" s="1"/>
  <c r="C23" i="10"/>
  <c r="J111" i="1"/>
  <c r="C103" i="2" l="1"/>
  <c r="G469" i="1"/>
  <c r="G475" i="1" s="1"/>
  <c r="H622" i="1" s="1"/>
  <c r="J622" i="1" s="1"/>
  <c r="H627" i="1"/>
  <c r="J627" i="1" s="1"/>
  <c r="C138" i="2"/>
  <c r="C140" i="2" s="1"/>
  <c r="C143" i="2" s="1"/>
  <c r="C144" i="2" s="1"/>
  <c r="L407" i="1"/>
  <c r="G626" i="1"/>
  <c r="J626" i="1" s="1"/>
  <c r="G663" i="1"/>
  <c r="G671" i="1" s="1"/>
  <c r="C5" i="10" s="1"/>
  <c r="I660" i="1"/>
  <c r="C25" i="13"/>
  <c r="H33" i="13"/>
  <c r="E33" i="13"/>
  <c r="D35" i="13" s="1"/>
  <c r="H671" i="1"/>
  <c r="C6" i="10" s="1"/>
  <c r="L256" i="1"/>
  <c r="L270" i="1" s="1"/>
  <c r="G631" i="1" s="1"/>
  <c r="J631" i="1" s="1"/>
  <c r="J192" i="1"/>
  <c r="J467" i="1" s="1"/>
  <c r="C36" i="10"/>
  <c r="I659" i="1"/>
  <c r="I663" i="1" s="1"/>
  <c r="F663" i="1"/>
  <c r="C28" i="10"/>
  <c r="J469" i="1" l="1"/>
  <c r="J475" i="1" s="1"/>
  <c r="H625" i="1" s="1"/>
  <c r="J625" i="1" s="1"/>
  <c r="H630" i="1"/>
  <c r="H636" i="1"/>
  <c r="G636" i="1"/>
  <c r="H645" i="1"/>
  <c r="G666" i="1"/>
  <c r="D11" i="10"/>
  <c r="C30" i="10"/>
  <c r="D18" i="10"/>
  <c r="D17" i="10"/>
  <c r="D20" i="10"/>
  <c r="D21" i="10"/>
  <c r="D15" i="10"/>
  <c r="D16" i="10"/>
  <c r="D22" i="10"/>
  <c r="D13" i="10"/>
  <c r="D26" i="10"/>
  <c r="D24" i="10"/>
  <c r="D12" i="10"/>
  <c r="D10" i="10"/>
  <c r="D25" i="10"/>
  <c r="D19" i="10"/>
  <c r="D27" i="10"/>
  <c r="F666" i="1"/>
  <c r="F671" i="1"/>
  <c r="C4" i="10" s="1"/>
  <c r="C41" i="10"/>
  <c r="D36" i="10" s="1"/>
  <c r="D23" i="10"/>
  <c r="I671" i="1"/>
  <c r="C7" i="10" s="1"/>
  <c r="I666" i="1"/>
  <c r="G645" i="1"/>
  <c r="J645" i="1" s="1"/>
  <c r="G630" i="1"/>
  <c r="J636" i="1" l="1"/>
  <c r="D28" i="10"/>
  <c r="J630" i="1"/>
  <c r="H655" i="1"/>
  <c r="D39" i="10"/>
  <c r="D40" i="10"/>
  <c r="D38" i="10"/>
  <c r="D37" i="10"/>
  <c r="D35" i="10"/>
  <c r="D41" i="10" l="1"/>
  <c r="C22" i="12"/>
  <c r="A22" i="12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<sst xmlns="http://schemas.openxmlformats.org/spreadsheetml/2006/main" count="3948" uniqueCount="914">
  <si>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</si>
  <si>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</si>
  <si>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</si>
  <si>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</si>
  <si>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</si>
  <si>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</si>
  <si>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</si>
  <si>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</si>
  <si>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</si>
  <si>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</si>
  <si>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</si>
  <si>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</si>
  <si>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</si>
  <si>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</si>
  <si>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</si>
  <si>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</si>
  <si>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</si>
  <si>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</si>
  <si>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</si>
  <si>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</si>
  <si>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</si>
  <si>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</si>
  <si>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</si>
  <si>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</si>
  <si>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</si>
  <si>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</si>
  <si>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</si>
  <si>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</si>
  <si>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</si>
  <si>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</si>
  <si>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</si>
  <si>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</si>
  <si>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</si>
  <si>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</si>
  <si>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</si>
  <si>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</si>
  <si>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</si>
  <si>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</si>
  <si>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</si>
  <si>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</si>
  <si>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</si>
  <si>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</si>
  <si>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</si>
  <si>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</si>
  <si>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</si>
  <si>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</si>
  <si>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</si>
  <si>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</si>
  <si>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</si>
  <si>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</si>
  <si>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</si>
  <si>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</si>
  <si>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</si>
  <si>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</si>
  <si>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</si>
  <si>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</si>
  <si>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</si>
  <si>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</si>
  <si>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</si>
  <si>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</si>
  <si>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</si>
  <si>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</si>
  <si>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</si>
  <si>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</si>
  <si>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</si>
  <si>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</si>
  <si>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</si>
  <si>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</si>
  <si>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</si>
  <si>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</si>
  <si>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</si>
  <si>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</si>
  <si>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</si>
  <si>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</si>
  <si>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</si>
  <si>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</si>
  <si>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</si>
  <si>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</si>
  <si>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</si>
  <si>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</si>
  <si>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</si>
  <si>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</si>
  <si>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</si>
  <si>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</si>
  <si>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</si>
  <si>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</si>
  <si>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</si>
  <si>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</si>
  <si>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</si>
  <si>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</si>
  <si>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</si>
  <si>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</si>
  <si>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</si>
  <si>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</si>
  <si>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</si>
  <si>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</si>
  <si>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</si>
  <si>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</si>
  <si>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</si>
  <si>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</si>
  <si>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</si>
  <si>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</si>
  <si>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</si>
  <si>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</si>
  <si>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</si>
  <si>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</si>
  <si>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</si>
  <si>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</si>
  <si>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</si>
  <si>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</si>
  <si>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</si>
  <si>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</si>
  <si>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</si>
  <si>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</si>
  <si>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</si>
  <si>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</si>
  <si>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</si>
  <si>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</si>
  <si>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</si>
  <si>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</si>
  <si>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</si>
  <si>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</si>
  <si>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</si>
  <si>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</si>
  <si>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</si>
  <si>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</si>
  <si>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</si>
  <si>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</si>
  <si>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</si>
  <si>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</si>
  <si>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</si>
  <si>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</si>
  <si>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</si>
  <si>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</si>
  <si>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</si>
  <si>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</si>
  <si>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</si>
  <si>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</si>
  <si>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</si>
  <si>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</si>
  <si>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</si>
  <si>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</si>
  <si>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</si>
  <si>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</si>
  <si>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</si>
  <si>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</si>
  <si>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</si>
  <si>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</si>
  <si>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</si>
  <si>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</si>
  <si>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</si>
  <si>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</si>
  <si>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</si>
  <si>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</si>
  <si>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</si>
  <si>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</si>
  <si>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</si>
  <si>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</si>
  <si>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</si>
  <si>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</si>
  <si>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</si>
  <si>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</si>
  <si>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</si>
  <si>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</si>
  <si>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</si>
  <si>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</si>
  <si>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</si>
  <si>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</si>
  <si>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</si>
  <si>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</si>
  <si>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</si>
  <si>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</si>
  <si>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</si>
  <si>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</si>
  <si>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</si>
  <si>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</si>
  <si>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</si>
  <si>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</si>
  <si>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</si>
  <si>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</si>
  <si>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</si>
  <si>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</si>
  <si>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</si>
  <si>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</si>
  <si>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</si>
  <si>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</si>
  <si>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</si>
  <si>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</si>
  <si>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</si>
  <si>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</si>
  <si>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</si>
  <si>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</si>
  <si>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</si>
  <si>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</si>
  <si>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</si>
  <si>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</si>
  <si>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</si>
  <si>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</si>
  <si>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</si>
  <si>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</si>
  <si>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</si>
  <si>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</si>
  <si>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</si>
  <si>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</si>
  <si>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</si>
  <si>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</si>
  <si>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</si>
  <si>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</si>
  <si>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</si>
  <si>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</si>
  <si>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</si>
  <si>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</si>
  <si>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</si>
  <si>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</si>
  <si>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</si>
  <si>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</si>
  <si>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</si>
  <si>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</si>
  <si>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</si>
  <si>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</si>
  <si>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</si>
  <si>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</si>
  <si>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</si>
  <si>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</si>
  <si>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</si>
  <si>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</si>
  <si>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</si>
  <si>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</si>
  <si>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</si>
  <si>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</si>
  <si>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</si>
  <si>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</si>
  <si>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</si>
  <si>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</si>
  <si>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</si>
  <si>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</si>
  <si>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</si>
  <si>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</si>
  <si>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</si>
  <si>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</si>
  <si>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</si>
  <si>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</si>
  <si>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</si>
  <si>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</si>
  <si>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</si>
  <si>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</si>
  <si>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</si>
  <si>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</si>
  <si>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</si>
  <si>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</si>
  <si>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</si>
  <si>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</si>
  <si>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</si>
  <si>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</si>
  <si>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</si>
  <si>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</si>
  <si>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</si>
  <si>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</si>
  <si>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</si>
  <si>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</si>
  <si>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</si>
  <si>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</si>
  <si>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</si>
  <si>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</si>
  <si>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</si>
  <si>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</si>
  <si>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</si>
  <si>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</si>
  <si>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</si>
  <si>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</si>
  <si>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</si>
  <si>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</si>
  <si>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</si>
  <si>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</si>
  <si>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</si>
  <si>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</si>
  <si>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</si>
  <si>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</si>
  <si>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</si>
  <si>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</si>
  <si>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</si>
  <si>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</si>
  <si>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</si>
  <si>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</si>
  <si>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</si>
  <si>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</si>
  <si>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</si>
  <si>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</si>
  <si>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</si>
  <si>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</si>
  <si>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</si>
  <si>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</si>
  <si>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</si>
  <si>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</si>
  <si>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</si>
  <si>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</si>
  <si>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</si>
  <si>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</si>
  <si>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</si>
  <si>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</si>
  <si>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</si>
  <si>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</si>
  <si>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</si>
  <si>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</si>
  <si>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</si>
  <si>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</si>
  <si>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</si>
  <si>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</si>
  <si>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</si>
  <si>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</si>
  <si>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</si>
  <si>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</si>
  <si>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</si>
  <si>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</si>
  <si>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</si>
  <si>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</si>
  <si>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</si>
  <si>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</si>
  <si>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</si>
  <si>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</si>
  <si>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</si>
  <si>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</si>
  <si>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</si>
  <si>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</si>
  <si>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</si>
  <si>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</si>
  <si>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</si>
  <si>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</si>
  <si>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</si>
  <si>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</si>
  <si>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</si>
  <si>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</si>
  <si>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</si>
  <si>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</si>
  <si>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</si>
  <si>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</si>
  <si>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</si>
  <si>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</si>
  <si>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</si>
  <si>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</si>
  <si>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</si>
  <si>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</si>
  <si>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</si>
  <si>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</si>
  <si>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</si>
  <si>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</si>
  <si>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</si>
  <si>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</si>
  <si>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</si>
  <si>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</si>
  <si>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</si>
  <si>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</si>
  <si>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</si>
  <si>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</si>
  <si>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</si>
  <si>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</si>
  <si>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</si>
  <si>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</si>
  <si>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</si>
  <si>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</si>
  <si>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</si>
  <si>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</si>
  <si>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</si>
  <si>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</si>
  <si>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</si>
  <si>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</si>
  <si>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</si>
  <si>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</si>
  <si>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</si>
  <si>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</si>
  <si>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</si>
  <si>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</si>
  <si>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</si>
  <si>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</si>
  <si>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</si>
  <si>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</si>
  <si>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</si>
  <si>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</si>
  <si>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</si>
  <si>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</si>
  <si>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</si>
  <si>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</si>
  <si>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</si>
  <si>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</si>
  <si>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</si>
  <si>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</si>
  <si>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</si>
  <si>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</si>
  <si>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</si>
  <si>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</si>
  <si>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</si>
  <si>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</si>
  <si>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</si>
  <si>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</si>
  <si>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</si>
  <si>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</si>
  <si>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</si>
  <si>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</si>
  <si>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</si>
  <si>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</si>
  <si>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</si>
  <si>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</si>
  <si>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</si>
  <si>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</si>
  <si>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</si>
  <si>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</si>
  <si>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</si>
  <si>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</si>
  <si>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</si>
  <si>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</si>
  <si>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</si>
  <si>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</si>
  <si>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</si>
  <si>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</si>
  <si>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</si>
  <si>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</si>
  <si>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</si>
  <si>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</si>
  <si>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</si>
  <si>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</si>
  <si>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</si>
  <si>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</si>
  <si>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</si>
  <si>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</si>
  <si>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</si>
  <si>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</si>
  <si>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</si>
  <si>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</si>
  <si>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</si>
  <si>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</si>
  <si>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</si>
  <si>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</si>
  <si>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</si>
  <si>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</si>
  <si>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</si>
  <si>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</si>
  <si>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</si>
  <si>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</si>
  <si>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</si>
  <si>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</si>
  <si>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</si>
  <si>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</si>
  <si>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</si>
  <si>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</si>
  <si>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</si>
  <si>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</si>
  <si>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</si>
  <si>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</si>
  <si>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</si>
  <si>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</si>
  <si>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</si>
  <si>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</si>
  <si>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</si>
  <si>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</si>
  <si>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</si>
  <si>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</si>
  <si>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</si>
  <si>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</si>
  <si>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</si>
  <si>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</si>
  <si>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</si>
  <si>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</si>
  <si>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</si>
  <si>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</si>
  <si>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</si>
  <si>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</si>
  <si>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</si>
  <si>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</si>
  <si>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</si>
  <si>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</si>
  <si>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</si>
  <si>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</si>
  <si>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</si>
  <si>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</si>
  <si>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</si>
  <si>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</si>
  <si>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</si>
  <si>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</si>
  <si>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</si>
  <si>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</si>
  <si>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</si>
  <si>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</si>
  <si>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</si>
  <si>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</si>
  <si>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</si>
  <si>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</si>
  <si>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</si>
  <si>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</si>
  <si>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</si>
  <si>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</si>
  <si>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</si>
  <si>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</si>
  <si>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</si>
  <si>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</si>
  <si>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</si>
  <si>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</si>
  <si>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</si>
  <si>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</si>
  <si>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</si>
  <si>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</si>
  <si>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</si>
  <si>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</si>
  <si>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</si>
  <si>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</si>
  <si>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</si>
  <si>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</si>
  <si>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</si>
  <si>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</si>
  <si>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</si>
  <si>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</si>
  <si>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</si>
  <si>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</si>
  <si>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</si>
  <si>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</si>
  <si>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</si>
  <si>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</si>
  <si>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</si>
  <si>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</si>
  <si>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</si>
  <si>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</si>
  <si>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</si>
  <si>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</si>
  <si>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</si>
  <si>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</si>
  <si>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</si>
  <si>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</si>
  <si>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</si>
  <si>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</si>
  <si>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</si>
  <si>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</si>
  <si>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</si>
  <si>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</si>
  <si>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</si>
  <si>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</si>
  <si>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</si>
  <si>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</si>
  <si>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</si>
  <si>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</si>
  <si>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</si>
  <si>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</si>
  <si>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</si>
  <si>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</si>
  <si>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</si>
  <si>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</si>
  <si>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</si>
  <si>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</si>
  <si>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</si>
  <si>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</si>
  <si>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</si>
  <si>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</si>
  <si>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</si>
  <si>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</si>
  <si>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</si>
  <si>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</si>
  <si>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</si>
  <si>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</si>
  <si>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</si>
  <si>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</si>
  <si>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</si>
  <si>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</si>
  <si>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</si>
  <si>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</si>
  <si>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</si>
  <si>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</si>
  <si>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</si>
  <si>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</si>
  <si>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</si>
  <si>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</si>
  <si>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</si>
  <si>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</si>
  <si>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</si>
  <si>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</si>
  <si>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</si>
  <si>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</si>
  <si>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</si>
  <si>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</si>
  <si>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</si>
  <si>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</si>
  <si>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</si>
  <si>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</si>
  <si>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</si>
  <si>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</si>
  <si>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</si>
  <si>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</si>
  <si>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</si>
  <si>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</si>
  <si>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</si>
  <si>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</si>
  <si>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</si>
  <si>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</si>
  <si>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</si>
  <si>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</si>
  <si>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</si>
  <si>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</si>
  <si>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</si>
  <si>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</si>
  <si>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</si>
  <si>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</si>
  <si>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</si>
  <si>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</si>
  <si>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</si>
  <si>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</si>
  <si>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</si>
  <si>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</si>
  <si>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</si>
  <si>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</si>
  <si>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</si>
  <si>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</si>
  <si>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</si>
  <si>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</si>
  <si>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</si>
  <si>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</si>
  <si>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</si>
  <si>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</si>
  <si>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</si>
  <si>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</si>
  <si>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</si>
  <si>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</si>
  <si>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</si>
  <si>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</si>
  <si>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</si>
  <si>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</si>
  <si>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</si>
  <si>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</si>
  <si>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</si>
  <si>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</si>
  <si>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</si>
  <si>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</si>
  <si>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</si>
  <si>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</si>
  <si>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</si>
  <si>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</si>
  <si>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</si>
  <si>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</si>
  <si>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</si>
  <si>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</si>
  <si>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</si>
  <si>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</si>
  <si>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</si>
  <si>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</si>
  <si>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</si>
  <si>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</si>
  <si>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</si>
  <si>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</si>
  <si>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</si>
  <si>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</si>
  <si>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</si>
  <si>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</si>
  <si>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</si>
  <si>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</si>
  <si>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</si>
  <si>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</si>
  <si>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</si>
  <si>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</si>
  <si>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</si>
  <si>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</si>
  <si>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</si>
  <si>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</si>
  <si>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</si>
  <si>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</si>
  <si>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</si>
  <si>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</si>
  <si>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</si>
  <si>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</si>
  <si>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</si>
  <si>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</si>
  <si>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</si>
  <si>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</si>
  <si>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</si>
  <si>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</si>
  <si>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</si>
  <si>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</si>
  <si>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</si>
  <si>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</si>
  <si>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</si>
  <si>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</si>
  <si>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</si>
  <si>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</si>
  <si>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</si>
  <si>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</si>
  <si>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</si>
  <si>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</si>
  <si>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</si>
  <si>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</si>
  <si>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</si>
  <si>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</si>
  <si>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</si>
  <si>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</si>
  <si>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</si>
  <si>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</si>
  <si>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</si>
  <si>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</si>
  <si>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</si>
  <si>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</si>
  <si>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</si>
  <si>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</si>
  <si>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</si>
  <si>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</si>
  <si>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</si>
  <si>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</si>
  <si>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</si>
  <si>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</si>
  <si>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</si>
  <si>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</si>
  <si>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</si>
  <si>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</si>
  <si>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</si>
  <si>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</si>
  <si>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</si>
  <si>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</si>
  <si>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</si>
  <si>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</si>
  <si>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</si>
  <si>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</si>
  <si>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</si>
  <si>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</si>
  <si>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</si>
  <si>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</si>
  <si>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</si>
  <si>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</si>
  <si>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</si>
  <si>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</si>
  <si>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</si>
  <si>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</si>
  <si>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</si>
  <si>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</si>
  <si>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</si>
  <si>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</si>
  <si>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</si>
  <si>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</si>
  <si>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</si>
  <si>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</si>
  <si>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</si>
  <si>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</si>
  <si>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</si>
  <si>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</si>
  <si>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</si>
  <si>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</si>
  <si>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</si>
  <si>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</si>
  <si>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</si>
  <si>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</si>
  <si>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</si>
  <si>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</si>
  <si>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</si>
  <si>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</si>
  <si>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</si>
  <si>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</si>
  <si>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</si>
  <si>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</si>
  <si>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</si>
  <si>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</si>
  <si>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</si>
  <si>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</si>
  <si>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</si>
  <si>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</si>
  <si>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</si>
  <si>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</si>
  <si>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</si>
  <si>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</si>
  <si>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</si>
  <si>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</si>
  <si>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</si>
  <si>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</si>
  <si>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</si>
  <si>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</si>
  <si>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</si>
  <si>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</si>
  <si>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</si>
  <si>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</si>
  <si>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</si>
  <si>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</si>
  <si>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</si>
  <si>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</si>
  <si>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</si>
  <si>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</si>
  <si>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</si>
  <si>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</si>
  <si>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</si>
  <si>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</si>
  <si>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</si>
  <si>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</si>
  <si>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</si>
  <si>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</si>
  <si>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</si>
  <si>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</si>
  <si>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</si>
  <si>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</si>
  <si>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</si>
  <si>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</si>
  <si>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</si>
  <si>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</si>
  <si>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</si>
  <si>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</si>
  <si>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</si>
  <si>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</si>
  <si>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</si>
  <si>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</si>
  <si>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</si>
  <si>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</si>
  <si>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</si>
  <si>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</si>
  <si>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</si>
  <si>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</si>
  <si>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</si>
  <si>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</si>
  <si>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</si>
  <si>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</si>
  <si>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</si>
  <si>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</si>
  <si>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</si>
  <si>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</si>
  <si>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</si>
  <si>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</si>
  <si>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</si>
  <si>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</si>
  <si>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</si>
  <si>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</si>
  <si>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</si>
  <si>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</si>
  <si>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</si>
  <si>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</si>
  <si>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</si>
  <si>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</si>
  <si>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</si>
  <si>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</si>
  <si>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</si>
  <si>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</si>
  <si>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</si>
  <si>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</si>
  <si>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</si>
  <si>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</si>
  <si>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</si>
  <si>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</si>
  <si>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</si>
  <si>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</si>
  <si>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</si>
  <si>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</si>
  <si>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</si>
  <si>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</si>
  <si>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</si>
  <si>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</si>
  <si>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</si>
  <si>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</si>
  <si>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</si>
  <si>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</si>
  <si>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</si>
  <si>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</si>
  <si>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</si>
  <si>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</si>
  <si>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</si>
  <si>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</si>
  <si>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</si>
  <si>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</si>
  <si>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</si>
  <si>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</si>
  <si>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</si>
  <si>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</si>
  <si>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</si>
  <si>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</si>
  <si>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</si>
  <si>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</si>
  <si>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</si>
  <si>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</si>
  <si>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</si>
  <si>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</si>
  <si>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</si>
  <si>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</si>
  <si>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</si>
  <si>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</si>
  <si>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</si>
  <si>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</si>
  <si>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</si>
  <si>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</si>
  <si>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</si>
  <si>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</si>
  <si>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</si>
  <si>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</si>
  <si>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</si>
  <si>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</si>
  <si>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</si>
  <si>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</si>
  <si>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</si>
  <si>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</si>
  <si>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</si>
  <si>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</si>
  <si>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</si>
  <si>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</si>
  <si>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</si>
  <si>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</si>
  <si>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</si>
  <si>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</si>
  <si>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</si>
  <si>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</si>
  <si>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</si>
  <si>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</si>
  <si>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</si>
  <si>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</si>
  <si>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</si>
  <si>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</si>
  <si>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</si>
  <si>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</si>
  <si>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</si>
  <si>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</si>
  <si>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</si>
  <si>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</si>
  <si>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</si>
  <si>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</si>
  <si>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</si>
  <si>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8/99</t>
  </si>
  <si>
    <t>8/19</t>
  </si>
  <si>
    <t>05/06</t>
  </si>
  <si>
    <t>05/26</t>
  </si>
  <si>
    <t>Franklin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</si>
</sst>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0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110" zoomScaleNormal="110" workbookViewId="0">
      <pane xSplit="5" ySplit="3" topLeftCell="G64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185</v>
      </c>
      <c r="C2" s="21">
        <v>185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44631</v>
      </c>
      <c r="G9" s="18">
        <f>7602+317</f>
        <v>7919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261954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589111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287112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408537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37613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f>8462+5296</f>
        <v>13758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958467</v>
      </c>
      <c r="G19" s="41">
        <f>SUM(G9:G18)</f>
        <v>430214</v>
      </c>
      <c r="H19" s="41">
        <f>SUM(H9:H18)</f>
        <v>0</v>
      </c>
      <c r="I19" s="41">
        <f>SUM(I9:I18)</f>
        <v>0</v>
      </c>
      <c r="J19" s="41">
        <f>SUM(J9:J18)</f>
        <v>261954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287112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302523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92877</v>
      </c>
      <c r="G24" s="18">
        <v>16627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46010+5280+145-767-863+1065+300</f>
        <v>51170</v>
      </c>
      <c r="G29" s="18">
        <f>2832+63+3438</f>
        <v>6333</v>
      </c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f>5296+2622</f>
        <v>7918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446570</v>
      </c>
      <c r="G32" s="41">
        <f>SUM(G22:G31)</f>
        <v>317990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13758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98466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261954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511897</v>
      </c>
      <c r="G48" s="18">
        <v>0</v>
      </c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511897</v>
      </c>
      <c r="G50" s="41">
        <f>SUM(G35:G49)</f>
        <v>112224</v>
      </c>
      <c r="H50" s="41">
        <f>SUM(H35:H49)</f>
        <v>0</v>
      </c>
      <c r="I50" s="41">
        <f>SUM(I35:I49)</f>
        <v>0</v>
      </c>
      <c r="J50" s="41">
        <f>SUM(J35:J49)</f>
        <v>261954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958467</v>
      </c>
      <c r="G51" s="41">
        <f>G50+G32</f>
        <v>430214</v>
      </c>
      <c r="H51" s="41">
        <f>H50+H32</f>
        <v>0</v>
      </c>
      <c r="I51" s="41">
        <f>I50+I32</f>
        <v>0</v>
      </c>
      <c r="J51" s="41">
        <f>J50+J32</f>
        <v>261954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3217126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3217126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634762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44846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679608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>
        <v>79</v>
      </c>
      <c r="H95" s="18"/>
      <c r="I95" s="18"/>
      <c r="J95" s="18">
        <v>380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70807+5589+9922+75330+8986</f>
        <v>170634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1735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>
        <v>1850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6000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6459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2116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907+2116</f>
        <v>3023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19333</v>
      </c>
      <c r="G110" s="41">
        <f>SUM(G95:G109)</f>
        <v>172563</v>
      </c>
      <c r="H110" s="41">
        <f>SUM(H95:H109)</f>
        <v>0</v>
      </c>
      <c r="I110" s="41">
        <f>SUM(I95:I109)</f>
        <v>0</v>
      </c>
      <c r="J110" s="41">
        <f>SUM(J95:J109)</f>
        <v>380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3916067</v>
      </c>
      <c r="G111" s="41">
        <f>G59+G110</f>
        <v>172563</v>
      </c>
      <c r="H111" s="41">
        <f>H59+H78+H93+H110</f>
        <v>0</v>
      </c>
      <c r="I111" s="41">
        <f>I59+I110</f>
        <v>0</v>
      </c>
      <c r="J111" s="41">
        <f>J59+J110</f>
        <v>380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8506667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1311104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9817771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181944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158123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7613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9170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347680</v>
      </c>
      <c r="G135" s="41">
        <f>SUM(G122:G134)</f>
        <v>9170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10165451</v>
      </c>
      <c r="G139" s="41">
        <f>G120+SUM(G135:G136)</f>
        <v>9170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427863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193582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193582</v>
      </c>
      <c r="G161" s="41">
        <f>SUM(G149:G160)</f>
        <v>427863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193582</v>
      </c>
      <c r="G168" s="41">
        <f>G146+G161+SUM(G162:G167)</f>
        <v>427863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14275100</v>
      </c>
      <c r="G192" s="47">
        <f>G111+G139+G168+G191</f>
        <v>609596</v>
      </c>
      <c r="H192" s="47">
        <f>H111+H139+H168+H191</f>
        <v>0</v>
      </c>
      <c r="I192" s="47">
        <f>I111+I139+I168+I191</f>
        <v>0</v>
      </c>
      <c r="J192" s="47">
        <f>J111+J139+J191</f>
        <v>380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1083155</v>
      </c>
      <c r="G196" s="18">
        <v>374436</v>
      </c>
      <c r="H196" s="18">
        <v>17149</v>
      </c>
      <c r="I196" s="18">
        <v>105991</v>
      </c>
      <c r="J196" s="18">
        <v>206</v>
      </c>
      <c r="K196" s="18"/>
      <c r="L196" s="19">
        <f>SUM(F196:K196)</f>
        <v>1580937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516918</v>
      </c>
      <c r="G197" s="18">
        <v>209416</v>
      </c>
      <c r="H197" s="18">
        <v>37598</v>
      </c>
      <c r="I197" s="18">
        <v>4937</v>
      </c>
      <c r="J197" s="18">
        <v>2600</v>
      </c>
      <c r="K197" s="18">
        <v>149</v>
      </c>
      <c r="L197" s="19">
        <f>SUM(F197:K197)</f>
        <v>771618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9500</v>
      </c>
      <c r="G199" s="18">
        <v>1449</v>
      </c>
      <c r="H199" s="18"/>
      <c r="I199" s="18"/>
      <c r="J199" s="18"/>
      <c r="K199" s="18"/>
      <c r="L199" s="19">
        <f>SUM(F199:K199)</f>
        <v>10949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248232</v>
      </c>
      <c r="G201" s="18">
        <v>73053</v>
      </c>
      <c r="H201" s="18">
        <v>188617</v>
      </c>
      <c r="I201" s="18">
        <v>3778</v>
      </c>
      <c r="J201" s="18">
        <v>172</v>
      </c>
      <c r="K201" s="18">
        <v>135</v>
      </c>
      <c r="L201" s="19">
        <f t="shared" ref="L201:L207" si="0">SUM(F201:K201)</f>
        <v>513987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15535</v>
      </c>
      <c r="G202" s="18">
        <v>2829</v>
      </c>
      <c r="H202" s="18">
        <v>6207</v>
      </c>
      <c r="I202" s="18">
        <v>2560</v>
      </c>
      <c r="J202" s="18">
        <v>23495</v>
      </c>
      <c r="K202" s="18"/>
      <c r="L202" s="19">
        <f t="shared" si="0"/>
        <v>50626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969</v>
      </c>
      <c r="G203" s="18">
        <f>74+1</f>
        <v>75</v>
      </c>
      <c r="H203" s="18">
        <f>252039+7059+16702+623</f>
        <v>276423</v>
      </c>
      <c r="I203" s="18">
        <v>768</v>
      </c>
      <c r="J203" s="18"/>
      <c r="K203" s="18">
        <f>1628+451</f>
        <v>2079</v>
      </c>
      <c r="L203" s="19">
        <f t="shared" si="0"/>
        <v>280314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137436</v>
      </c>
      <c r="G204" s="18">
        <v>72705</v>
      </c>
      <c r="H204" s="18">
        <v>4769</v>
      </c>
      <c r="I204" s="18">
        <v>703</v>
      </c>
      <c r="J204" s="18">
        <v>0</v>
      </c>
      <c r="K204" s="18">
        <v>665</v>
      </c>
      <c r="L204" s="19">
        <f t="shared" si="0"/>
        <v>216278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103198</v>
      </c>
      <c r="G206" s="18">
        <v>59431</v>
      </c>
      <c r="H206" s="18">
        <v>58522</v>
      </c>
      <c r="I206" s="18">
        <v>66295</v>
      </c>
      <c r="J206" s="18">
        <v>8314</v>
      </c>
      <c r="K206" s="18"/>
      <c r="L206" s="19">
        <f t="shared" si="0"/>
        <v>295760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142669</v>
      </c>
      <c r="I207" s="18">
        <v>19684</v>
      </c>
      <c r="J207" s="18"/>
      <c r="K207" s="18"/>
      <c r="L207" s="19">
        <f t="shared" si="0"/>
        <v>162353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7374</v>
      </c>
      <c r="G208" s="18">
        <v>3215</v>
      </c>
      <c r="H208" s="18"/>
      <c r="I208" s="18"/>
      <c r="J208" s="18"/>
      <c r="K208" s="18"/>
      <c r="L208" s="19">
        <f>SUM(F208:K208)</f>
        <v>10589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2122317</v>
      </c>
      <c r="G210" s="41">
        <f t="shared" si="1"/>
        <v>796609</v>
      </c>
      <c r="H210" s="41">
        <f t="shared" si="1"/>
        <v>731954</v>
      </c>
      <c r="I210" s="41">
        <f t="shared" si="1"/>
        <v>204716</v>
      </c>
      <c r="J210" s="41">
        <f t="shared" si="1"/>
        <v>34787</v>
      </c>
      <c r="K210" s="41">
        <f t="shared" si="1"/>
        <v>3028</v>
      </c>
      <c r="L210" s="41">
        <f t="shared" si="1"/>
        <v>3893411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1049095</v>
      </c>
      <c r="G214" s="18">
        <v>366605</v>
      </c>
      <c r="H214" s="18">
        <v>32138</v>
      </c>
      <c r="I214" s="18">
        <v>52267</v>
      </c>
      <c r="J214" s="18"/>
      <c r="K214" s="18">
        <v>7995</v>
      </c>
      <c r="L214" s="19">
        <f>SUM(F214:K214)</f>
        <v>1508100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313066</v>
      </c>
      <c r="G215" s="18">
        <v>357672</v>
      </c>
      <c r="H215" s="18">
        <v>107476</v>
      </c>
      <c r="I215" s="18">
        <v>3988</v>
      </c>
      <c r="J215" s="18">
        <v>1186</v>
      </c>
      <c r="K215" s="18">
        <v>107</v>
      </c>
      <c r="L215" s="19">
        <f>SUM(F215:K215)</f>
        <v>783495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45986</v>
      </c>
      <c r="G217" s="18">
        <v>12025</v>
      </c>
      <c r="H217" s="18">
        <v>9932</v>
      </c>
      <c r="I217" s="18">
        <v>3980</v>
      </c>
      <c r="J217" s="18">
        <v>2407</v>
      </c>
      <c r="K217" s="18">
        <v>1015</v>
      </c>
      <c r="L217" s="19">
        <f>SUM(F217:K217)</f>
        <v>75345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181024</v>
      </c>
      <c r="G219" s="18">
        <v>66704</v>
      </c>
      <c r="H219" s="18">
        <v>190350</v>
      </c>
      <c r="I219" s="18">
        <v>3091</v>
      </c>
      <c r="J219" s="18">
        <v>0</v>
      </c>
      <c r="K219" s="18">
        <v>469</v>
      </c>
      <c r="L219" s="19">
        <f t="shared" ref="L219:L225" si="2">SUM(F219:K219)</f>
        <v>441638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44624</v>
      </c>
      <c r="G220" s="18">
        <v>18571</v>
      </c>
      <c r="H220" s="18">
        <v>7880</v>
      </c>
      <c r="I220" s="18">
        <v>8415</v>
      </c>
      <c r="J220" s="18">
        <v>42599</v>
      </c>
      <c r="K220" s="18"/>
      <c r="L220" s="19">
        <f t="shared" si="2"/>
        <v>122089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754</v>
      </c>
      <c r="G221" s="18">
        <v>59</v>
      </c>
      <c r="H221" s="18">
        <v>214888</v>
      </c>
      <c r="I221" s="18">
        <v>597</v>
      </c>
      <c r="J221" s="18"/>
      <c r="K221" s="18">
        <v>1616</v>
      </c>
      <c r="L221" s="19">
        <f t="shared" si="2"/>
        <v>217914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213717</v>
      </c>
      <c r="G222" s="18">
        <v>82135</v>
      </c>
      <c r="H222" s="18">
        <v>8926</v>
      </c>
      <c r="I222" s="18">
        <v>3171</v>
      </c>
      <c r="J222" s="18">
        <v>224</v>
      </c>
      <c r="K222" s="18">
        <v>1763</v>
      </c>
      <c r="L222" s="19">
        <f t="shared" si="2"/>
        <v>309936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151917</v>
      </c>
      <c r="G224" s="18">
        <v>74048</v>
      </c>
      <c r="H224" s="18">
        <v>107829</v>
      </c>
      <c r="I224" s="18">
        <v>111952</v>
      </c>
      <c r="J224" s="18">
        <v>11617</v>
      </c>
      <c r="K224" s="18"/>
      <c r="L224" s="19">
        <f t="shared" si="2"/>
        <v>457363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168705</v>
      </c>
      <c r="I225" s="18">
        <v>15302</v>
      </c>
      <c r="J225" s="18"/>
      <c r="K225" s="18"/>
      <c r="L225" s="19">
        <f t="shared" si="2"/>
        <v>184007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5733</v>
      </c>
      <c r="G226" s="18">
        <v>2500</v>
      </c>
      <c r="H226" s="18"/>
      <c r="I226" s="18"/>
      <c r="J226" s="18"/>
      <c r="K226" s="18"/>
      <c r="L226" s="19">
        <f>SUM(F226:K226)</f>
        <v>8233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2005916</v>
      </c>
      <c r="G228" s="41">
        <f>SUM(G214:G227)</f>
        <v>980319</v>
      </c>
      <c r="H228" s="41">
        <f>SUM(H214:H227)</f>
        <v>848124</v>
      </c>
      <c r="I228" s="41">
        <f>SUM(I214:I227)</f>
        <v>202763</v>
      </c>
      <c r="J228" s="41">
        <f>SUM(J214:J227)</f>
        <v>58033</v>
      </c>
      <c r="K228" s="41">
        <f t="shared" si="3"/>
        <v>12965</v>
      </c>
      <c r="L228" s="41">
        <f t="shared" si="3"/>
        <v>4108120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1145265</v>
      </c>
      <c r="G232" s="18">
        <v>380710</v>
      </c>
      <c r="H232" s="18">
        <v>47279</v>
      </c>
      <c r="I232" s="18">
        <v>89732</v>
      </c>
      <c r="J232" s="18">
        <v>21155</v>
      </c>
      <c r="K232" s="18">
        <v>4536</v>
      </c>
      <c r="L232" s="19">
        <f>SUM(F232:K232)</f>
        <v>1688677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449365</v>
      </c>
      <c r="G233" s="18">
        <v>132451</v>
      </c>
      <c r="H233" s="18">
        <v>853767</v>
      </c>
      <c r="I233" s="18">
        <v>3005</v>
      </c>
      <c r="J233" s="18">
        <v>6089</v>
      </c>
      <c r="K233" s="18">
        <v>374</v>
      </c>
      <c r="L233" s="19">
        <f>SUM(F233:K233)</f>
        <v>1445051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107339</v>
      </c>
      <c r="I234" s="18"/>
      <c r="J234" s="18"/>
      <c r="K234" s="18"/>
      <c r="L234" s="19">
        <f>SUM(F234:K234)</f>
        <v>107339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98815</v>
      </c>
      <c r="G235" s="18">
        <v>37428</v>
      </c>
      <c r="H235" s="18">
        <v>38353</v>
      </c>
      <c r="I235" s="18">
        <v>12608</v>
      </c>
      <c r="J235" s="18">
        <v>9376</v>
      </c>
      <c r="K235" s="18">
        <v>6465</v>
      </c>
      <c r="L235" s="19">
        <f>SUM(F235:K235)</f>
        <v>203045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265223</v>
      </c>
      <c r="G237" s="18">
        <v>81133</v>
      </c>
      <c r="H237" s="18">
        <v>170554</v>
      </c>
      <c r="I237" s="18">
        <v>1002</v>
      </c>
      <c r="J237" s="18">
        <v>1498</v>
      </c>
      <c r="K237" s="18">
        <v>129</v>
      </c>
      <c r="L237" s="19">
        <f t="shared" ref="L237:L243" si="4">SUM(F237:K237)</f>
        <v>519539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69997</v>
      </c>
      <c r="G238" s="18">
        <v>35359</v>
      </c>
      <c r="H238" s="18">
        <v>9098</v>
      </c>
      <c r="I238" s="18">
        <v>13114</v>
      </c>
      <c r="J238" s="18">
        <v>55104</v>
      </c>
      <c r="K238" s="18"/>
      <c r="L238" s="19">
        <f t="shared" si="4"/>
        <v>182672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852</v>
      </c>
      <c r="G239" s="18">
        <v>66</v>
      </c>
      <c r="H239" s="18">
        <v>242972</v>
      </c>
      <c r="I239" s="18">
        <v>675</v>
      </c>
      <c r="J239" s="18"/>
      <c r="K239" s="18">
        <f>1431+397</f>
        <v>1828</v>
      </c>
      <c r="L239" s="19">
        <f t="shared" si="4"/>
        <v>246393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237117</v>
      </c>
      <c r="G240" s="18">
        <v>104078</v>
      </c>
      <c r="H240" s="18">
        <v>12709</v>
      </c>
      <c r="I240" s="18">
        <v>60</v>
      </c>
      <c r="J240" s="18">
        <v>3296</v>
      </c>
      <c r="K240" s="18">
        <f>10542+127</f>
        <v>10669</v>
      </c>
      <c r="L240" s="19">
        <f t="shared" si="4"/>
        <v>367929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160702</v>
      </c>
      <c r="G242" s="18">
        <v>72990</v>
      </c>
      <c r="H242" s="18">
        <v>141081</v>
      </c>
      <c r="I242" s="18">
        <v>150375</v>
      </c>
      <c r="J242" s="18">
        <v>13686</v>
      </c>
      <c r="K242" s="18"/>
      <c r="L242" s="19">
        <f t="shared" si="4"/>
        <v>538834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259253</v>
      </c>
      <c r="I243" s="18">
        <v>17302</v>
      </c>
      <c r="J243" s="18"/>
      <c r="K243" s="18"/>
      <c r="L243" s="19">
        <f t="shared" si="4"/>
        <v>276555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6479</v>
      </c>
      <c r="G244" s="18">
        <v>2825</v>
      </c>
      <c r="H244" s="18"/>
      <c r="I244" s="18"/>
      <c r="J244" s="18"/>
      <c r="K244" s="18"/>
      <c r="L244" s="19">
        <f>SUM(F244:K244)</f>
        <v>9304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2433815</v>
      </c>
      <c r="G246" s="41">
        <f t="shared" si="5"/>
        <v>847040</v>
      </c>
      <c r="H246" s="41">
        <f t="shared" si="5"/>
        <v>1882405</v>
      </c>
      <c r="I246" s="41">
        <f t="shared" si="5"/>
        <v>287873</v>
      </c>
      <c r="J246" s="41">
        <f t="shared" si="5"/>
        <v>110204</v>
      </c>
      <c r="K246" s="41">
        <f t="shared" si="5"/>
        <v>24001</v>
      </c>
      <c r="L246" s="41">
        <f t="shared" si="5"/>
        <v>5585338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16500</v>
      </c>
      <c r="G250" s="18">
        <v>1553</v>
      </c>
      <c r="H250" s="18"/>
      <c r="I250" s="18"/>
      <c r="J250" s="18"/>
      <c r="K250" s="18"/>
      <c r="L250" s="19">
        <f t="shared" si="6"/>
        <v>18053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16500</v>
      </c>
      <c r="G255" s="41">
        <f t="shared" si="7"/>
        <v>1553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18053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6578548</v>
      </c>
      <c r="G256" s="41">
        <f t="shared" si="8"/>
        <v>2625521</v>
      </c>
      <c r="H256" s="41">
        <f t="shared" si="8"/>
        <v>3462483</v>
      </c>
      <c r="I256" s="41">
        <f t="shared" si="8"/>
        <v>695352</v>
      </c>
      <c r="J256" s="41">
        <f t="shared" si="8"/>
        <v>203024</v>
      </c>
      <c r="K256" s="41">
        <f t="shared" si="8"/>
        <v>39994</v>
      </c>
      <c r="L256" s="41">
        <f t="shared" si="8"/>
        <v>13604922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392105+48554</f>
        <v>440659</v>
      </c>
      <c r="L259" s="19">
        <f>SUM(F259:K259)</f>
        <v>440659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182262+3881</f>
        <v>186143</v>
      </c>
      <c r="L260" s="19">
        <f>SUM(F260:K260)</f>
        <v>186143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626802</v>
      </c>
      <c r="L269" s="41">
        <f t="shared" si="9"/>
        <v>626802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6578548</v>
      </c>
      <c r="G270" s="42">
        <f t="shared" si="11"/>
        <v>2625521</v>
      </c>
      <c r="H270" s="42">
        <f t="shared" si="11"/>
        <v>3462483</v>
      </c>
      <c r="I270" s="42">
        <f t="shared" si="11"/>
        <v>695352</v>
      </c>
      <c r="J270" s="42">
        <f t="shared" si="11"/>
        <v>203024</v>
      </c>
      <c r="K270" s="42">
        <f t="shared" si="11"/>
        <v>666796</v>
      </c>
      <c r="L270" s="42">
        <f t="shared" si="11"/>
        <v>14231724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85570</v>
      </c>
      <c r="G357" s="18">
        <v>29896</v>
      </c>
      <c r="H357" s="18">
        <v>4926</v>
      </c>
      <c r="I357" s="18">
        <v>126544</v>
      </c>
      <c r="J357" s="18">
        <v>1565</v>
      </c>
      <c r="K357" s="18">
        <v>358</v>
      </c>
      <c r="L357" s="13">
        <f>SUM(F357:K357)</f>
        <v>248859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62541</v>
      </c>
      <c r="G358" s="18">
        <v>16455</v>
      </c>
      <c r="H358" s="18">
        <v>3830</v>
      </c>
      <c r="I358" s="18">
        <v>102902</v>
      </c>
      <c r="J358" s="18">
        <v>1217</v>
      </c>
      <c r="K358" s="18">
        <v>278</v>
      </c>
      <c r="L358" s="19">
        <f>SUM(F358:K358)</f>
        <v>187223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82033</v>
      </c>
      <c r="G359" s="18">
        <v>28244</v>
      </c>
      <c r="H359" s="18">
        <v>4328</v>
      </c>
      <c r="I359" s="18">
        <v>93680</v>
      </c>
      <c r="J359" s="18">
        <v>1375</v>
      </c>
      <c r="K359" s="18">
        <v>314</v>
      </c>
      <c r="L359" s="19">
        <f>SUM(F359:K359)</f>
        <v>209974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230144</v>
      </c>
      <c r="G361" s="47">
        <f t="shared" si="22"/>
        <v>74595</v>
      </c>
      <c r="H361" s="47">
        <f t="shared" si="22"/>
        <v>13084</v>
      </c>
      <c r="I361" s="47">
        <f t="shared" si="22"/>
        <v>323126</v>
      </c>
      <c r="J361" s="47">
        <f t="shared" si="22"/>
        <v>4157</v>
      </c>
      <c r="K361" s="47">
        <f t="shared" si="22"/>
        <v>950</v>
      </c>
      <c r="L361" s="47">
        <f t="shared" si="22"/>
        <v>646056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120935</v>
      </c>
      <c r="G366" s="18">
        <v>98525</v>
      </c>
      <c r="H366" s="18">
        <v>88753</v>
      </c>
      <c r="I366" s="56">
        <f>SUM(F366:H366)</f>
        <v>308213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5609</v>
      </c>
      <c r="G367" s="63">
        <v>4377</v>
      </c>
      <c r="H367" s="63">
        <v>4927</v>
      </c>
      <c r="I367" s="56">
        <f>SUM(F367:H367)</f>
        <v>14913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126544</v>
      </c>
      <c r="G368" s="47">
        <f>SUM(G366:G367)</f>
        <v>102902</v>
      </c>
      <c r="H368" s="47">
        <f>SUM(H366:H367)</f>
        <v>93680</v>
      </c>
      <c r="I368" s="47">
        <f>SUM(I366:I367)</f>
        <v>323126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147</v>
      </c>
      <c r="I395" s="18"/>
      <c r="J395" s="24" t="s">
        <v>289</v>
      </c>
      <c r="K395" s="24" t="s">
        <v>289</v>
      </c>
      <c r="L395" s="56">
        <f t="shared" si="26"/>
        <v>147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233</v>
      </c>
      <c r="I396" s="18"/>
      <c r="J396" s="24" t="s">
        <v>289</v>
      </c>
      <c r="K396" s="24" t="s">
        <v>289</v>
      </c>
      <c r="L396" s="56">
        <f t="shared" si="26"/>
        <v>233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380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380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380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380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261954</v>
      </c>
      <c r="H439" s="18"/>
      <c r="I439" s="56">
        <f t="shared" si="33"/>
        <v>261954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261954</v>
      </c>
      <c r="H445" s="13">
        <f>SUM(H438:H444)</f>
        <v>0</v>
      </c>
      <c r="I445" s="13">
        <f>SUM(I438:I444)</f>
        <v>261954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261954</v>
      </c>
      <c r="H458" s="18"/>
      <c r="I458" s="56">
        <f t="shared" si="34"/>
        <v>261954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261954</v>
      </c>
      <c r="H459" s="83">
        <f>SUM(H453:H458)</f>
        <v>0</v>
      </c>
      <c r="I459" s="83">
        <f>SUM(I453:I458)</f>
        <v>261954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261954</v>
      </c>
      <c r="H460" s="42">
        <f>H451+H459</f>
        <v>0</v>
      </c>
      <c r="I460" s="42">
        <f>I451+I459</f>
        <v>261954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468521</v>
      </c>
      <c r="G464" s="18">
        <v>148684</v>
      </c>
      <c r="H464" s="18"/>
      <c r="I464" s="18"/>
      <c r="J464" s="18">
        <v>261574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14275100</v>
      </c>
      <c r="G467" s="18">
        <f>G192</f>
        <v>609596</v>
      </c>
      <c r="H467" s="18"/>
      <c r="I467" s="18"/>
      <c r="J467" s="18">
        <f>J192</f>
        <v>380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14275100</v>
      </c>
      <c r="G469" s="53">
        <f>SUM(G467:G468)</f>
        <v>609596</v>
      </c>
      <c r="H469" s="53">
        <f>SUM(H467:H468)</f>
        <v>0</v>
      </c>
      <c r="I469" s="53">
        <f>SUM(I467:I468)</f>
        <v>0</v>
      </c>
      <c r="J469" s="53">
        <f>SUM(J467:J468)</f>
        <v>380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14231724</v>
      </c>
      <c r="G471" s="18">
        <f>L361</f>
        <v>646056</v>
      </c>
      <c r="H471" s="18"/>
      <c r="I471" s="18"/>
      <c r="J471" s="18">
        <v>0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14231724</v>
      </c>
      <c r="G473" s="53">
        <f>SUM(G471:G472)</f>
        <v>646056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511897</v>
      </c>
      <c r="G475" s="53">
        <f>(G464+G469)- G473</f>
        <v>112224</v>
      </c>
      <c r="H475" s="53">
        <f>(H464+H469)- H473</f>
        <v>0</v>
      </c>
      <c r="I475" s="53">
        <f>(I464+I469)- I473</f>
        <v>0</v>
      </c>
      <c r="J475" s="53">
        <f>(J464+J469)- J473</f>
        <v>261954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911</v>
      </c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912</v>
      </c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5010376</v>
      </c>
      <c r="G492" s="18">
        <v>2700000</v>
      </c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</v>
      </c>
      <c r="G493" s="18">
        <v>4.26</v>
      </c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1750000</v>
      </c>
      <c r="G494" s="18">
        <f>2149288.77-142105.26</f>
        <v>2007183.51</v>
      </c>
      <c r="H494" s="18"/>
      <c r="I494" s="18"/>
      <c r="J494" s="18"/>
      <c r="K494" s="53">
        <f>SUM(F494:J494)</f>
        <v>3757183.51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250000</v>
      </c>
      <c r="G496" s="18">
        <v>142105.26</v>
      </c>
      <c r="H496" s="18"/>
      <c r="I496" s="18"/>
      <c r="J496" s="18"/>
      <c r="K496" s="53">
        <f t="shared" si="35"/>
        <v>392105.26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1500000</v>
      </c>
      <c r="G497" s="204">
        <f>G494-G496</f>
        <v>1865078.25</v>
      </c>
      <c r="H497" s="204"/>
      <c r="I497" s="204"/>
      <c r="J497" s="204"/>
      <c r="K497" s="205">
        <f t="shared" si="35"/>
        <v>3365078.25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424267-99773</f>
        <v>324494</v>
      </c>
      <c r="G498" s="18">
        <f>633139.32-82780.99</f>
        <v>550358.32999999996</v>
      </c>
      <c r="H498" s="18"/>
      <c r="I498" s="18"/>
      <c r="J498" s="18"/>
      <c r="K498" s="53">
        <f t="shared" si="35"/>
        <v>874852.33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1824494</v>
      </c>
      <c r="G499" s="42">
        <f>SUM(G497:G498)</f>
        <v>2415436.58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4239930.58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250000</v>
      </c>
      <c r="G500" s="204">
        <f>G496</f>
        <v>142105.26</v>
      </c>
      <c r="H500" s="204"/>
      <c r="I500" s="204"/>
      <c r="J500" s="204"/>
      <c r="K500" s="205">
        <f t="shared" si="35"/>
        <v>392105.26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86733</v>
      </c>
      <c r="G501" s="18">
        <v>76727</v>
      </c>
      <c r="H501" s="18"/>
      <c r="I501" s="18"/>
      <c r="J501" s="18"/>
      <c r="K501" s="53">
        <f t="shared" si="35"/>
        <v>163460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336733</v>
      </c>
      <c r="G502" s="42">
        <f>SUM(G500:G501)</f>
        <v>218832.26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555565.26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</f>
        <v>516918</v>
      </c>
      <c r="G520" s="18">
        <f t="shared" ref="G520:K520" si="36">G197</f>
        <v>209416</v>
      </c>
      <c r="H520" s="18">
        <f t="shared" si="36"/>
        <v>37598</v>
      </c>
      <c r="I520" s="18">
        <f t="shared" si="36"/>
        <v>4937</v>
      </c>
      <c r="J520" s="18">
        <f t="shared" si="36"/>
        <v>2600</v>
      </c>
      <c r="K520" s="18">
        <f t="shared" si="36"/>
        <v>149</v>
      </c>
      <c r="L520" s="88">
        <f>SUM(F520:K520)</f>
        <v>771618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F215</f>
        <v>313066</v>
      </c>
      <c r="G521" s="18">
        <f t="shared" ref="G521:K521" si="37">G215</f>
        <v>357672</v>
      </c>
      <c r="H521" s="18">
        <f t="shared" si="37"/>
        <v>107476</v>
      </c>
      <c r="I521" s="18">
        <f t="shared" si="37"/>
        <v>3988</v>
      </c>
      <c r="J521" s="18">
        <f t="shared" si="37"/>
        <v>1186</v>
      </c>
      <c r="K521" s="18">
        <f t="shared" si="37"/>
        <v>107</v>
      </c>
      <c r="L521" s="88">
        <f>SUM(F521:K521)</f>
        <v>783495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F233</f>
        <v>449365</v>
      </c>
      <c r="G522" s="18">
        <f t="shared" ref="G522:K522" si="38">G233</f>
        <v>132451</v>
      </c>
      <c r="H522" s="18">
        <f t="shared" si="38"/>
        <v>853767</v>
      </c>
      <c r="I522" s="18">
        <f t="shared" si="38"/>
        <v>3005</v>
      </c>
      <c r="J522" s="18">
        <f t="shared" si="38"/>
        <v>6089</v>
      </c>
      <c r="K522" s="18">
        <f t="shared" si="38"/>
        <v>374</v>
      </c>
      <c r="L522" s="88">
        <f>SUM(F522:K522)</f>
        <v>1445051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1279349</v>
      </c>
      <c r="G523" s="108">
        <f t="shared" ref="G523:L523" si="39">SUM(G520:G522)</f>
        <v>699539</v>
      </c>
      <c r="H523" s="108">
        <f t="shared" si="39"/>
        <v>998841</v>
      </c>
      <c r="I523" s="108">
        <f t="shared" si="39"/>
        <v>11930</v>
      </c>
      <c r="J523" s="108">
        <f t="shared" si="39"/>
        <v>9875</v>
      </c>
      <c r="K523" s="108">
        <f t="shared" si="39"/>
        <v>630</v>
      </c>
      <c r="L523" s="89">
        <f t="shared" si="39"/>
        <v>3000164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170102</v>
      </c>
      <c r="G525" s="18">
        <v>57476</v>
      </c>
      <c r="H525" s="18">
        <v>188449</v>
      </c>
      <c r="I525" s="18">
        <v>2691</v>
      </c>
      <c r="J525" s="18">
        <v>0</v>
      </c>
      <c r="K525" s="18"/>
      <c r="L525" s="88">
        <f>SUM(F525:K525)</f>
        <v>418718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39116</v>
      </c>
      <c r="G526" s="18">
        <v>20574</v>
      </c>
      <c r="H526" s="18">
        <v>190106</v>
      </c>
      <c r="I526" s="18">
        <v>271</v>
      </c>
      <c r="J526" s="18">
        <v>0</v>
      </c>
      <c r="K526" s="18"/>
      <c r="L526" s="88">
        <f>SUM(F526:K526)</f>
        <v>250067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41732</v>
      </c>
      <c r="G527" s="18">
        <v>20941</v>
      </c>
      <c r="H527" s="18">
        <v>170485</v>
      </c>
      <c r="I527" s="18">
        <v>889</v>
      </c>
      <c r="J527" s="18">
        <v>1498</v>
      </c>
      <c r="K527" s="18"/>
      <c r="L527" s="88">
        <f>SUM(F527:K527)</f>
        <v>235545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250950</v>
      </c>
      <c r="G528" s="89">
        <f t="shared" ref="G528:L528" si="40">SUM(G525:G527)</f>
        <v>98991</v>
      </c>
      <c r="H528" s="89">
        <f t="shared" si="40"/>
        <v>549040</v>
      </c>
      <c r="I528" s="89">
        <f t="shared" si="40"/>
        <v>3851</v>
      </c>
      <c r="J528" s="89">
        <f t="shared" si="40"/>
        <v>1498</v>
      </c>
      <c r="K528" s="89">
        <f t="shared" si="40"/>
        <v>0</v>
      </c>
      <c r="L528" s="89">
        <f t="shared" si="40"/>
        <v>904330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28576</v>
      </c>
      <c r="G530" s="18">
        <v>14400</v>
      </c>
      <c r="H530" s="18">
        <v>708</v>
      </c>
      <c r="I530" s="18">
        <v>318</v>
      </c>
      <c r="J530" s="18">
        <v>148</v>
      </c>
      <c r="K530" s="18">
        <v>159</v>
      </c>
      <c r="L530" s="88">
        <f>SUM(F530:K530)</f>
        <v>44309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18682</v>
      </c>
      <c r="G531" s="18">
        <v>9414</v>
      </c>
      <c r="H531" s="18">
        <v>463</v>
      </c>
      <c r="I531" s="18">
        <v>208</v>
      </c>
      <c r="J531" s="18">
        <v>966</v>
      </c>
      <c r="K531" s="18">
        <v>104</v>
      </c>
      <c r="L531" s="88">
        <f>SUM(F531:K531)</f>
        <v>29837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47704</v>
      </c>
      <c r="G532" s="18">
        <v>24039</v>
      </c>
      <c r="H532" s="18">
        <v>1181</v>
      </c>
      <c r="I532" s="18">
        <v>532</v>
      </c>
      <c r="J532" s="18">
        <v>2468</v>
      </c>
      <c r="K532" s="18">
        <v>266</v>
      </c>
      <c r="L532" s="88">
        <f>SUM(F532:K532)</f>
        <v>76190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94962</v>
      </c>
      <c r="G533" s="89">
        <f t="shared" ref="G533:L533" si="41">SUM(G530:G532)</f>
        <v>47853</v>
      </c>
      <c r="H533" s="89">
        <f t="shared" si="41"/>
        <v>2352</v>
      </c>
      <c r="I533" s="89">
        <f t="shared" si="41"/>
        <v>1058</v>
      </c>
      <c r="J533" s="89">
        <f t="shared" si="41"/>
        <v>3582</v>
      </c>
      <c r="K533" s="89">
        <f t="shared" si="41"/>
        <v>529</v>
      </c>
      <c r="L533" s="89">
        <f t="shared" si="41"/>
        <v>150336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250</v>
      </c>
      <c r="I535" s="18"/>
      <c r="J535" s="18"/>
      <c r="K535" s="18"/>
      <c r="L535" s="88">
        <f>SUM(F535:K535)</f>
        <v>250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1252</v>
      </c>
      <c r="I536" s="18"/>
      <c r="J536" s="18"/>
      <c r="K536" s="18"/>
      <c r="L536" s="88">
        <f>SUM(F536:K536)</f>
        <v>1252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2895</v>
      </c>
      <c r="I537" s="18"/>
      <c r="J537" s="18"/>
      <c r="K537" s="18"/>
      <c r="L537" s="88">
        <f>SUM(F537:K537)</f>
        <v>2895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2">SUM(G535:G537)</f>
        <v>0</v>
      </c>
      <c r="H538" s="89">
        <f t="shared" si="42"/>
        <v>4397</v>
      </c>
      <c r="I538" s="89">
        <f t="shared" si="42"/>
        <v>0</v>
      </c>
      <c r="J538" s="89">
        <f t="shared" si="42"/>
        <v>0</v>
      </c>
      <c r="K538" s="89">
        <f t="shared" si="42"/>
        <v>0</v>
      </c>
      <c r="L538" s="89">
        <f t="shared" si="42"/>
        <v>4397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38959</v>
      </c>
      <c r="I540" s="18">
        <v>6048</v>
      </c>
      <c r="J540" s="18"/>
      <c r="K540" s="18"/>
      <c r="L540" s="88">
        <f>SUM(F540:K540)</f>
        <v>45007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75456</v>
      </c>
      <c r="I541" s="18">
        <v>4702</v>
      </c>
      <c r="J541" s="18"/>
      <c r="K541" s="18"/>
      <c r="L541" s="88">
        <f>SUM(F541:K541)</f>
        <v>80158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99790</v>
      </c>
      <c r="I542" s="18">
        <v>5370</v>
      </c>
      <c r="J542" s="18"/>
      <c r="K542" s="18"/>
      <c r="L542" s="88">
        <f>SUM(F542:K542)</f>
        <v>105160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3">SUM(G540:G542)</f>
        <v>0</v>
      </c>
      <c r="H543" s="193">
        <f t="shared" si="43"/>
        <v>214205</v>
      </c>
      <c r="I543" s="193">
        <f t="shared" si="43"/>
        <v>16120</v>
      </c>
      <c r="J543" s="193">
        <f t="shared" si="43"/>
        <v>0</v>
      </c>
      <c r="K543" s="193">
        <f t="shared" si="43"/>
        <v>0</v>
      </c>
      <c r="L543" s="193">
        <f t="shared" si="43"/>
        <v>230325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1625261</v>
      </c>
      <c r="G544" s="89">
        <f t="shared" ref="G544:L544" si="44">G523+G528+G533+G538+G543</f>
        <v>846383</v>
      </c>
      <c r="H544" s="89">
        <f t="shared" si="44"/>
        <v>1768835</v>
      </c>
      <c r="I544" s="89">
        <f t="shared" si="44"/>
        <v>32959</v>
      </c>
      <c r="J544" s="89">
        <f t="shared" si="44"/>
        <v>14955</v>
      </c>
      <c r="K544" s="89">
        <f t="shared" si="44"/>
        <v>1159</v>
      </c>
      <c r="L544" s="89">
        <f t="shared" si="44"/>
        <v>4289552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771618</v>
      </c>
      <c r="G548" s="87">
        <f>L525</f>
        <v>418718</v>
      </c>
      <c r="H548" s="87">
        <f>L530</f>
        <v>44309</v>
      </c>
      <c r="I548" s="87">
        <f>L535</f>
        <v>250</v>
      </c>
      <c r="J548" s="87">
        <f>L540</f>
        <v>45007</v>
      </c>
      <c r="K548" s="87">
        <f>SUM(F548:J548)</f>
        <v>1279902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783495</v>
      </c>
      <c r="G549" s="87">
        <f>L526</f>
        <v>250067</v>
      </c>
      <c r="H549" s="87">
        <f>L531</f>
        <v>29837</v>
      </c>
      <c r="I549" s="87">
        <f>L536</f>
        <v>1252</v>
      </c>
      <c r="J549" s="87">
        <f>L541</f>
        <v>80158</v>
      </c>
      <c r="K549" s="87">
        <f>SUM(F549:J549)</f>
        <v>1144809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1445051</v>
      </c>
      <c r="G550" s="87">
        <f>L527</f>
        <v>235545</v>
      </c>
      <c r="H550" s="87">
        <f>L532</f>
        <v>76190</v>
      </c>
      <c r="I550" s="87">
        <f>L537</f>
        <v>2895</v>
      </c>
      <c r="J550" s="87">
        <f>L542</f>
        <v>105160</v>
      </c>
      <c r="K550" s="87">
        <f>SUM(F550:J550)</f>
        <v>1864841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5">SUM(F548:F550)</f>
        <v>3000164</v>
      </c>
      <c r="G551" s="89">
        <f t="shared" si="45"/>
        <v>904330</v>
      </c>
      <c r="H551" s="89">
        <f t="shared" si="45"/>
        <v>150336</v>
      </c>
      <c r="I551" s="89">
        <f t="shared" si="45"/>
        <v>4397</v>
      </c>
      <c r="J551" s="89">
        <f t="shared" si="45"/>
        <v>230325</v>
      </c>
      <c r="K551" s="89">
        <f t="shared" si="45"/>
        <v>4289552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6">SUM(F556:F558)</f>
        <v>0</v>
      </c>
      <c r="G559" s="108">
        <f t="shared" si="46"/>
        <v>0</v>
      </c>
      <c r="H559" s="108">
        <f t="shared" si="46"/>
        <v>0</v>
      </c>
      <c r="I559" s="108">
        <f t="shared" si="46"/>
        <v>0</v>
      </c>
      <c r="J559" s="108">
        <f t="shared" si="46"/>
        <v>0</v>
      </c>
      <c r="K559" s="108">
        <f t="shared" si="46"/>
        <v>0</v>
      </c>
      <c r="L559" s="89">
        <f t="shared" si="46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7">SUM(F561:F563)</f>
        <v>0</v>
      </c>
      <c r="G564" s="89">
        <f t="shared" si="47"/>
        <v>0</v>
      </c>
      <c r="H564" s="89">
        <f t="shared" si="47"/>
        <v>0</v>
      </c>
      <c r="I564" s="89">
        <f t="shared" si="47"/>
        <v>0</v>
      </c>
      <c r="J564" s="89">
        <f t="shared" si="47"/>
        <v>0</v>
      </c>
      <c r="K564" s="89">
        <f t="shared" si="47"/>
        <v>0</v>
      </c>
      <c r="L564" s="89">
        <f t="shared" si="47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8">SUM(G566:G568)</f>
        <v>0</v>
      </c>
      <c r="H569" s="193">
        <f t="shared" si="48"/>
        <v>0</v>
      </c>
      <c r="I569" s="193">
        <f t="shared" si="48"/>
        <v>0</v>
      </c>
      <c r="J569" s="193">
        <f t="shared" si="48"/>
        <v>0</v>
      </c>
      <c r="K569" s="193">
        <f t="shared" si="48"/>
        <v>0</v>
      </c>
      <c r="L569" s="193">
        <f t="shared" si="48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9">G559+G564+G569</f>
        <v>0</v>
      </c>
      <c r="H570" s="89">
        <f t="shared" si="49"/>
        <v>0</v>
      </c>
      <c r="I570" s="89">
        <f t="shared" si="49"/>
        <v>0</v>
      </c>
      <c r="J570" s="89">
        <f t="shared" si="49"/>
        <v>0</v>
      </c>
      <c r="K570" s="89">
        <f t="shared" si="49"/>
        <v>0</v>
      </c>
      <c r="L570" s="89">
        <f t="shared" si="49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1275</v>
      </c>
      <c r="I574" s="87">
        <f>SUM(F574:H574)</f>
        <v>1275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50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50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>
        <v>18936</v>
      </c>
      <c r="H578" s="18">
        <v>30258</v>
      </c>
      <c r="I578" s="87">
        <f t="shared" si="50"/>
        <v>49194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50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36938</v>
      </c>
      <c r="G581" s="18">
        <v>88064</v>
      </c>
      <c r="H581" s="18">
        <v>648852</v>
      </c>
      <c r="I581" s="87">
        <f t="shared" si="50"/>
        <v>773854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127962</v>
      </c>
      <c r="I582" s="87">
        <f t="shared" si="50"/>
        <v>127962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94084</v>
      </c>
      <c r="I583" s="87">
        <f t="shared" si="50"/>
        <v>94084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50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113362</v>
      </c>
      <c r="I590" s="18">
        <v>88126</v>
      </c>
      <c r="J590" s="18">
        <v>99644</v>
      </c>
      <c r="K590" s="104">
        <f t="shared" ref="K590:K596" si="51">SUM(H590:J590)</f>
        <v>301132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45007</v>
      </c>
      <c r="I591" s="18">
        <v>80158</v>
      </c>
      <c r="J591" s="18">
        <v>105160</v>
      </c>
      <c r="K591" s="104">
        <f t="shared" si="51"/>
        <v>230325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35449</v>
      </c>
      <c r="K592" s="104">
        <f t="shared" si="51"/>
        <v>35449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9659</v>
      </c>
      <c r="J593" s="18">
        <v>30022</v>
      </c>
      <c r="K593" s="104">
        <f t="shared" si="51"/>
        <v>39681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3984</v>
      </c>
      <c r="I594" s="18">
        <v>6064</v>
      </c>
      <c r="J594" s="18">
        <v>6280</v>
      </c>
      <c r="K594" s="104">
        <f t="shared" si="51"/>
        <v>16328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51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51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162353</v>
      </c>
      <c r="I597" s="108">
        <f>SUM(I590:I596)</f>
        <v>184007</v>
      </c>
      <c r="J597" s="108">
        <f>SUM(J590:J596)</f>
        <v>276555</v>
      </c>
      <c r="K597" s="108">
        <f>SUM(K590:K596)</f>
        <v>622915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5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</f>
        <v>34787</v>
      </c>
      <c r="I603" s="272">
        <f>J228</f>
        <v>58033</v>
      </c>
      <c r="J603" s="272">
        <f>J246</f>
        <v>110204</v>
      </c>
      <c r="K603" s="104">
        <f>SUM(H603:J603)</f>
        <v>203024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34787</v>
      </c>
      <c r="I604" s="108">
        <f>SUM(I601:I603)</f>
        <v>58033</v>
      </c>
      <c r="J604" s="108">
        <f>SUM(J601:J603)</f>
        <v>110204</v>
      </c>
      <c r="K604" s="108">
        <f>SUM(K601:K603)</f>
        <v>203024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2">SUM(F610:F612)</f>
        <v>0</v>
      </c>
      <c r="G613" s="108">
        <f t="shared" si="52"/>
        <v>0</v>
      </c>
      <c r="H613" s="108">
        <f t="shared" si="52"/>
        <v>0</v>
      </c>
      <c r="I613" s="108">
        <f t="shared" si="52"/>
        <v>0</v>
      </c>
      <c r="J613" s="108">
        <f t="shared" si="52"/>
        <v>0</v>
      </c>
      <c r="K613" s="108">
        <f t="shared" si="52"/>
        <v>0</v>
      </c>
      <c r="L613" s="89">
        <f t="shared" si="52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958467</v>
      </c>
      <c r="H616" s="109">
        <f>SUM(F51)</f>
        <v>958467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430214</v>
      </c>
      <c r="H617" s="109">
        <f>SUM(G51)</f>
        <v>430214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261954</v>
      </c>
      <c r="H620" s="109">
        <f>SUM(J51)</f>
        <v>261954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511897</v>
      </c>
      <c r="H621" s="109">
        <f>F475</f>
        <v>511897</v>
      </c>
      <c r="I621" s="121" t="s">
        <v>101</v>
      </c>
      <c r="J621" s="109">
        <f t="shared" ref="J621:J654" si="53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112224</v>
      </c>
      <c r="H622" s="109">
        <f>G475</f>
        <v>112224</v>
      </c>
      <c r="I622" s="121" t="s">
        <v>102</v>
      </c>
      <c r="J622" s="109">
        <f t="shared" si="53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3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261954</v>
      </c>
      <c r="H625" s="109">
        <f>J475</f>
        <v>261954</v>
      </c>
      <c r="I625" s="140" t="s">
        <v>105</v>
      </c>
      <c r="J625" s="109">
        <f t="shared" si="53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14275100</v>
      </c>
      <c r="H626" s="104">
        <f>SUM(F467)</f>
        <v>14275100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609596</v>
      </c>
      <c r="H627" s="104">
        <f>SUM(G467)</f>
        <v>609596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380</v>
      </c>
      <c r="H630" s="104">
        <f>SUM(J467)</f>
        <v>380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14231724</v>
      </c>
      <c r="H631" s="104">
        <f>SUM(F471)</f>
        <v>14231724</v>
      </c>
      <c r="I631" s="140" t="s">
        <v>111</v>
      </c>
      <c r="J631" s="109">
        <f t="shared" si="53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323126</v>
      </c>
      <c r="H633" s="104">
        <f>I368</f>
        <v>323126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646056</v>
      </c>
      <c r="H634" s="104">
        <f>SUM(G471)</f>
        <v>646056</v>
      </c>
      <c r="I634" s="140" t="s">
        <v>114</v>
      </c>
      <c r="J634" s="109">
        <f t="shared" si="53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3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380</v>
      </c>
      <c r="H636" s="164">
        <f>SUM(J467)</f>
        <v>380</v>
      </c>
      <c r="I636" s="165" t="s">
        <v>110</v>
      </c>
      <c r="J636" s="151">
        <f t="shared" si="53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3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261954</v>
      </c>
      <c r="H639" s="104">
        <f>SUM(G460)</f>
        <v>261954</v>
      </c>
      <c r="I639" s="140" t="s">
        <v>858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261954</v>
      </c>
      <c r="H641" s="104">
        <f>SUM(I460)</f>
        <v>261954</v>
      </c>
      <c r="I641" s="140" t="s">
        <v>860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380</v>
      </c>
      <c r="H643" s="104">
        <f>H407</f>
        <v>380</v>
      </c>
      <c r="I643" s="140" t="s">
        <v>481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380</v>
      </c>
      <c r="H645" s="104">
        <f>L407</f>
        <v>380</v>
      </c>
      <c r="I645" s="140" t="s">
        <v>478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622915</v>
      </c>
      <c r="H646" s="104">
        <f>L207+L225+L243</f>
        <v>622915</v>
      </c>
      <c r="I646" s="140" t="s">
        <v>397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203024</v>
      </c>
      <c r="H647" s="104">
        <f>(J256+J337)-(J254+J335)</f>
        <v>203024</v>
      </c>
      <c r="I647" s="140" t="s">
        <v>703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162353</v>
      </c>
      <c r="H648" s="104">
        <f>H597</f>
        <v>162353</v>
      </c>
      <c r="I648" s="140" t="s">
        <v>389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184007</v>
      </c>
      <c r="H649" s="104">
        <f>I597</f>
        <v>184007</v>
      </c>
      <c r="I649" s="140" t="s">
        <v>390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276555</v>
      </c>
      <c r="H650" s="104">
        <f>J597</f>
        <v>276555</v>
      </c>
      <c r="I650" s="140" t="s">
        <v>391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4142270</v>
      </c>
      <c r="G659" s="19">
        <f>(L228+L308+L358)</f>
        <v>4295343</v>
      </c>
      <c r="H659" s="19">
        <f>(L246+L327+L359)</f>
        <v>5795312</v>
      </c>
      <c r="I659" s="19">
        <f>SUM(F659:H659)</f>
        <v>14232925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66440.363925108657</v>
      </c>
      <c r="G660" s="19">
        <f>(L358/IF(SUM(L357:L359)=0,1,SUM(L357:L359))*(SUM(G96:G109)))</f>
        <v>49984.78759116857</v>
      </c>
      <c r="H660" s="19">
        <f>(L359/IF(SUM(L357:L359)=0,1,SUM(L357:L359))*(SUM(G96:G109)))</f>
        <v>56058.848483722773</v>
      </c>
      <c r="I660" s="19">
        <f>SUM(F660:H660)</f>
        <v>172484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162353</v>
      </c>
      <c r="G661" s="19">
        <f>(L225+L305)-(J225+J305)</f>
        <v>184007</v>
      </c>
      <c r="H661" s="19">
        <f>(L243+L324)-(J243+J324)</f>
        <v>276555</v>
      </c>
      <c r="I661" s="19">
        <f>SUM(F661:H661)</f>
        <v>622915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71725</v>
      </c>
      <c r="G662" s="199">
        <f>SUM(G574:G586)+SUM(I601:I603)+L611</f>
        <v>165033</v>
      </c>
      <c r="H662" s="199">
        <f>SUM(H574:H586)+SUM(J601:J603)+L612</f>
        <v>1012635</v>
      </c>
      <c r="I662" s="19">
        <f>SUM(F662:H662)</f>
        <v>1249393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3841751.6360748913</v>
      </c>
      <c r="G663" s="19">
        <f>G659-SUM(G660:G662)</f>
        <v>3896318.2124088313</v>
      </c>
      <c r="H663" s="19">
        <f>H659-SUM(H660:H662)</f>
        <v>4450063.1515162773</v>
      </c>
      <c r="I663" s="19">
        <f>I659-SUM(I660:I662)</f>
        <v>12188133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458.97</v>
      </c>
      <c r="G664" s="248">
        <v>356.8</v>
      </c>
      <c r="H664" s="248">
        <v>403.43</v>
      </c>
      <c r="I664" s="19">
        <f>SUM(F664:H664)</f>
        <v>1219.2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8370.3799999999992</v>
      </c>
      <c r="G666" s="19">
        <f>ROUND(G663/G664,2)</f>
        <v>10920.17</v>
      </c>
      <c r="H666" s="19">
        <f>ROUND(H663/H664,2)</f>
        <v>11030.57</v>
      </c>
      <c r="I666" s="19">
        <f>ROUND(I663/I664,2)</f>
        <v>9996.83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-9.08</v>
      </c>
      <c r="I669" s="19">
        <f>SUM(F669:H669)</f>
        <v>-9.08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8370.3799999999992</v>
      </c>
      <c r="G671" s="19">
        <f>ROUND((G663+G668)/(G664+G669),2)</f>
        <v>10920.17</v>
      </c>
      <c r="H671" s="19">
        <f>ROUND((H663+H668)/(H664+H669),2)</f>
        <v>11284.55</v>
      </c>
      <c r="I671" s="19">
        <f>ROUND((I663+I668)/(I664+I669),2)</f>
        <v>10071.84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A5" sqref="A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Franklin</v>
      </c>
      <c r="C1" s="238" t="s">
        <v>839</v>
      </c>
    </row>
    <row r="2" spans="1:3" x14ac:dyDescent="0.2">
      <c r="A2" s="233"/>
      <c r="B2" s="232"/>
    </row>
    <row r="3" spans="1:3" x14ac:dyDescent="0.2">
      <c r="A3" s="276" t="s">
        <v>784</v>
      </c>
      <c r="B3" s="276"/>
      <c r="C3" s="276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783</v>
      </c>
      <c r="C6" s="275"/>
    </row>
    <row r="7" spans="1:3" x14ac:dyDescent="0.2">
      <c r="A7" s="239" t="s">
        <v>786</v>
      </c>
      <c r="B7" s="273" t="s">
        <v>782</v>
      </c>
      <c r="C7" s="274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3277515</v>
      </c>
      <c r="C9" s="229">
        <f>'DOE25'!G196+'DOE25'!G214+'DOE25'!G232+'DOE25'!G275+'DOE25'!G294+'DOE25'!G313</f>
        <v>1121751</v>
      </c>
    </row>
    <row r="10" spans="1:3" x14ac:dyDescent="0.2">
      <c r="A10" t="s">
        <v>779</v>
      </c>
      <c r="B10" s="240">
        <v>3234390</v>
      </c>
      <c r="C10" s="240">
        <v>1096498</v>
      </c>
    </row>
    <row r="11" spans="1:3" x14ac:dyDescent="0.2">
      <c r="A11" t="s">
        <v>780</v>
      </c>
      <c r="B11" s="240">
        <v>43125</v>
      </c>
      <c r="C11" s="240">
        <v>25253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3277515</v>
      </c>
      <c r="C13" s="231">
        <f>SUM(C10:C12)</f>
        <v>1121751</v>
      </c>
    </row>
    <row r="14" spans="1:3" x14ac:dyDescent="0.2">
      <c r="B14" s="230"/>
      <c r="C14" s="230"/>
    </row>
    <row r="15" spans="1:3" x14ac:dyDescent="0.2">
      <c r="B15" s="275" t="s">
        <v>783</v>
      </c>
      <c r="C15" s="275"/>
    </row>
    <row r="16" spans="1:3" x14ac:dyDescent="0.2">
      <c r="A16" s="239" t="s">
        <v>787</v>
      </c>
      <c r="B16" s="273" t="s">
        <v>707</v>
      </c>
      <c r="C16" s="274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1279349</v>
      </c>
      <c r="C18" s="229">
        <f>'DOE25'!G197+'DOE25'!G215+'DOE25'!G233+'DOE25'!G276+'DOE25'!G295+'DOE25'!G314</f>
        <v>699539</v>
      </c>
    </row>
    <row r="19" spans="1:3" x14ac:dyDescent="0.2">
      <c r="A19" t="s">
        <v>779</v>
      </c>
      <c r="B19" s="240">
        <v>627419</v>
      </c>
      <c r="C19" s="240">
        <v>375354</v>
      </c>
    </row>
    <row r="20" spans="1:3" x14ac:dyDescent="0.2">
      <c r="A20" t="s">
        <v>780</v>
      </c>
      <c r="B20" s="240">
        <v>556968</v>
      </c>
      <c r="C20" s="240">
        <v>276332</v>
      </c>
    </row>
    <row r="21" spans="1:3" x14ac:dyDescent="0.2">
      <c r="A21" t="s">
        <v>781</v>
      </c>
      <c r="B21" s="240">
        <v>94962</v>
      </c>
      <c r="C21" s="240">
        <v>47853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1279349</v>
      </c>
      <c r="C22" s="231">
        <f>SUM(C19:C21)</f>
        <v>699539</v>
      </c>
    </row>
    <row r="23" spans="1:3" x14ac:dyDescent="0.2">
      <c r="B23" s="230"/>
      <c r="C23" s="230"/>
    </row>
    <row r="24" spans="1:3" x14ac:dyDescent="0.2">
      <c r="B24" s="275" t="s">
        <v>783</v>
      </c>
      <c r="C24" s="275"/>
    </row>
    <row r="25" spans="1:3" x14ac:dyDescent="0.2">
      <c r="A25" s="239" t="s">
        <v>788</v>
      </c>
      <c r="B25" s="273" t="s">
        <v>708</v>
      </c>
      <c r="C25" s="274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39" t="s">
        <v>789</v>
      </c>
      <c r="B34" s="273" t="s">
        <v>709</v>
      </c>
      <c r="C34" s="274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154301</v>
      </c>
      <c r="C36" s="235">
        <f>'DOE25'!G199+'DOE25'!G217+'DOE25'!G235+'DOE25'!G278+'DOE25'!G297+'DOE25'!G316</f>
        <v>50902</v>
      </c>
    </row>
    <row r="37" spans="1:3" x14ac:dyDescent="0.2">
      <c r="A37" t="s">
        <v>779</v>
      </c>
      <c r="B37" s="240">
        <f>5725+7609</f>
        <v>13334</v>
      </c>
      <c r="C37" s="240">
        <v>1153</v>
      </c>
    </row>
    <row r="38" spans="1:3" x14ac:dyDescent="0.2">
      <c r="A38" t="s">
        <v>780</v>
      </c>
      <c r="B38" s="240">
        <f>3292+4740+2669</f>
        <v>10701</v>
      </c>
      <c r="C38" s="240">
        <v>926</v>
      </c>
    </row>
    <row r="39" spans="1:3" x14ac:dyDescent="0.2">
      <c r="A39" t="s">
        <v>781</v>
      </c>
      <c r="B39" s="240">
        <v>130266</v>
      </c>
      <c r="C39" s="240">
        <v>48823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154301</v>
      </c>
      <c r="C40" s="231">
        <f>SUM(C37:C39)</f>
        <v>50902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5" t="str">
        <f>'DOE25'!A2</f>
        <v>Franklin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8174556</v>
      </c>
      <c r="D5" s="20">
        <f>SUM('DOE25'!L196:L199)+SUM('DOE25'!L214:L217)+SUM('DOE25'!L232:L235)-F5-G5</f>
        <v>8110896</v>
      </c>
      <c r="E5" s="243"/>
      <c r="F5" s="255">
        <f>SUM('DOE25'!J196:J199)+SUM('DOE25'!J214:J217)+SUM('DOE25'!J232:J235)</f>
        <v>43019</v>
      </c>
      <c r="G5" s="53">
        <f>SUM('DOE25'!K196:K199)+SUM('DOE25'!K214:K217)+SUM('DOE25'!K232:K235)</f>
        <v>20641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1475164</v>
      </c>
      <c r="D6" s="20">
        <f>'DOE25'!L201+'DOE25'!L219+'DOE25'!L237-F6-G6</f>
        <v>1472761</v>
      </c>
      <c r="E6" s="243"/>
      <c r="F6" s="255">
        <f>'DOE25'!J201+'DOE25'!J219+'DOE25'!J237</f>
        <v>1670</v>
      </c>
      <c r="G6" s="53">
        <f>'DOE25'!K201+'DOE25'!K219+'DOE25'!K237</f>
        <v>733</v>
      </c>
      <c r="H6" s="259"/>
    </row>
    <row r="7" spans="1:9" x14ac:dyDescent="0.2">
      <c r="A7" s="32">
        <v>2200</v>
      </c>
      <c r="B7" t="s">
        <v>834</v>
      </c>
      <c r="C7" s="245">
        <f t="shared" si="0"/>
        <v>355387</v>
      </c>
      <c r="D7" s="20">
        <f>'DOE25'!L202+'DOE25'!L220+'DOE25'!L238-F7-G7</f>
        <v>234189</v>
      </c>
      <c r="E7" s="243"/>
      <c r="F7" s="255">
        <f>'DOE25'!J202+'DOE25'!J220+'DOE25'!J238</f>
        <v>121198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479934</v>
      </c>
      <c r="D8" s="243"/>
      <c r="E8" s="20">
        <f>'DOE25'!L203+'DOE25'!L221+'DOE25'!L239-F8-G8-D9-D11</f>
        <v>474411</v>
      </c>
      <c r="F8" s="255">
        <f>'DOE25'!J203+'DOE25'!J221+'DOE25'!J239</f>
        <v>0</v>
      </c>
      <c r="G8" s="53">
        <f>'DOE25'!K203+'DOE25'!K221+'DOE25'!K239</f>
        <v>5523</v>
      </c>
      <c r="H8" s="259"/>
    </row>
    <row r="9" spans="1:9" x14ac:dyDescent="0.2">
      <c r="A9" s="32">
        <v>2310</v>
      </c>
      <c r="B9" t="s">
        <v>818</v>
      </c>
      <c r="C9" s="245">
        <f t="shared" si="0"/>
        <v>75107</v>
      </c>
      <c r="D9" s="244">
        <v>75107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18750</v>
      </c>
      <c r="D10" s="243"/>
      <c r="E10" s="244">
        <v>18750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189580</v>
      </c>
      <c r="D11" s="244">
        <v>189580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894143</v>
      </c>
      <c r="D12" s="20">
        <f>'DOE25'!L204+'DOE25'!L222+'DOE25'!L240-F12-G12</f>
        <v>877526</v>
      </c>
      <c r="E12" s="243"/>
      <c r="F12" s="255">
        <f>'DOE25'!J204+'DOE25'!J222+'DOE25'!J240</f>
        <v>3520</v>
      </c>
      <c r="G12" s="53">
        <f>'DOE25'!K204+'DOE25'!K222+'DOE25'!K240</f>
        <v>13097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1291957</v>
      </c>
      <c r="D14" s="20">
        <f>'DOE25'!L206+'DOE25'!L224+'DOE25'!L242-F14-G14</f>
        <v>1258340</v>
      </c>
      <c r="E14" s="243"/>
      <c r="F14" s="255">
        <f>'DOE25'!J206+'DOE25'!J224+'DOE25'!J242</f>
        <v>33617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622915</v>
      </c>
      <c r="D15" s="20">
        <f>'DOE25'!L207+'DOE25'!L225+'DOE25'!L243-F15-G15</f>
        <v>622915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28126</v>
      </c>
      <c r="D16" s="243"/>
      <c r="E16" s="20">
        <f>'DOE25'!L208+'DOE25'!L226+'DOE25'!L244-F16-G16</f>
        <v>28126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18053</v>
      </c>
      <c r="D17" s="20">
        <f>'DOE25'!L250-F17-G17</f>
        <v>18053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626802</v>
      </c>
      <c r="D25" s="243"/>
      <c r="E25" s="243"/>
      <c r="F25" s="258"/>
      <c r="G25" s="256"/>
      <c r="H25" s="257">
        <f>'DOE25'!L259+'DOE25'!L260+'DOE25'!L340+'DOE25'!L341</f>
        <v>626802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337843</v>
      </c>
      <c r="D29" s="20">
        <f>'DOE25'!L357+'DOE25'!L358+'DOE25'!L359-'DOE25'!I366-F29-G29</f>
        <v>332736</v>
      </c>
      <c r="E29" s="243"/>
      <c r="F29" s="255">
        <f>'DOE25'!J357+'DOE25'!J358+'DOE25'!J359</f>
        <v>4157</v>
      </c>
      <c r="G29" s="53">
        <f>'DOE25'!K357+'DOE25'!K358+'DOE25'!K359</f>
        <v>950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'DOE25'!L289+'DOE25'!L308+'DOE25'!L327+'DOE25'!L332+'DOE25'!L333+'DOE25'!L334-F31-G31</f>
        <v>0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13192103</v>
      </c>
      <c r="E33" s="246">
        <f>SUM(E5:E31)</f>
        <v>521287</v>
      </c>
      <c r="F33" s="246">
        <f>SUM(F5:F31)</f>
        <v>207181</v>
      </c>
      <c r="G33" s="246">
        <f>SUM(G5:G31)</f>
        <v>40944</v>
      </c>
      <c r="H33" s="246">
        <f>SUM(H5:H31)</f>
        <v>626802</v>
      </c>
    </row>
    <row r="35" spans="2:8" ht="12" thickBot="1" x14ac:dyDescent="0.25">
      <c r="B35" s="253" t="s">
        <v>847</v>
      </c>
      <c r="D35" s="254">
        <f>E33</f>
        <v>521287</v>
      </c>
      <c r="E35" s="249"/>
    </row>
    <row r="36" spans="2:8" ht="12" thickTop="1" x14ac:dyDescent="0.2">
      <c r="B36" t="s">
        <v>815</v>
      </c>
      <c r="D36" s="20">
        <f>D33</f>
        <v>13192103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Franklin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44631</v>
      </c>
      <c r="D8" s="95">
        <f>'DOE25'!G9</f>
        <v>7919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261954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589111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287112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408537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37613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13758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958467</v>
      </c>
      <c r="D18" s="41">
        <f>SUM(D8:D17)</f>
        <v>430214</v>
      </c>
      <c r="E18" s="41">
        <f>SUM(E8:E17)</f>
        <v>0</v>
      </c>
      <c r="F18" s="41">
        <f>SUM(F8:F17)</f>
        <v>0</v>
      </c>
      <c r="G18" s="41">
        <f>SUM(G8:G17)</f>
        <v>261954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287112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302523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92877</v>
      </c>
      <c r="D23" s="95">
        <f>'DOE25'!G24</f>
        <v>16627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51170</v>
      </c>
      <c r="D28" s="95">
        <f>'DOE25'!G29</f>
        <v>6333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7918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446570</v>
      </c>
      <c r="D31" s="41">
        <f>SUM(D21:D30)</f>
        <v>317990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13758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98466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261954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511897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511897</v>
      </c>
      <c r="D49" s="41">
        <f>SUM(D34:D48)</f>
        <v>112224</v>
      </c>
      <c r="E49" s="41">
        <f>SUM(E34:E48)</f>
        <v>0</v>
      </c>
      <c r="F49" s="41">
        <f>SUM(F34:F48)</f>
        <v>0</v>
      </c>
      <c r="G49" s="41">
        <f>SUM(G34:G48)</f>
        <v>261954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958467</v>
      </c>
      <c r="D50" s="41">
        <f>D49+D31</f>
        <v>430214</v>
      </c>
      <c r="E50" s="41">
        <f>E49+E31</f>
        <v>0</v>
      </c>
      <c r="F50" s="41">
        <f>F49+F31</f>
        <v>0</v>
      </c>
      <c r="G50" s="41">
        <f>G49+G31</f>
        <v>261954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3217126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679608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79</v>
      </c>
      <c r="E58" s="95">
        <f>'DOE25'!H95</f>
        <v>0</v>
      </c>
      <c r="F58" s="95">
        <f>'DOE25'!I95</f>
        <v>0</v>
      </c>
      <c r="G58" s="95">
        <f>'DOE25'!J95</f>
        <v>380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170634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19333</v>
      </c>
      <c r="D60" s="95">
        <f>SUM('DOE25'!G97:G109)</f>
        <v>1850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698941</v>
      </c>
      <c r="D61" s="130">
        <f>SUM(D56:D60)</f>
        <v>172563</v>
      </c>
      <c r="E61" s="130">
        <f>SUM(E56:E60)</f>
        <v>0</v>
      </c>
      <c r="F61" s="130">
        <f>SUM(F56:F60)</f>
        <v>0</v>
      </c>
      <c r="G61" s="130">
        <f>SUM(G56:G60)</f>
        <v>380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3916067</v>
      </c>
      <c r="D62" s="22">
        <f>D55+D61</f>
        <v>172563</v>
      </c>
      <c r="E62" s="22">
        <f>E55+E61</f>
        <v>0</v>
      </c>
      <c r="F62" s="22">
        <f>F55+F61</f>
        <v>0</v>
      </c>
      <c r="G62" s="22">
        <f>G55+G61</f>
        <v>380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8506667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1311104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9817771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181944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158123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7613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9170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347680</v>
      </c>
      <c r="D77" s="130">
        <f>SUM(D71:D76)</f>
        <v>9170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10165451</v>
      </c>
      <c r="D80" s="130">
        <f>SUM(D78:D79)+D77+D69</f>
        <v>9170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193582</v>
      </c>
      <c r="D87" s="95">
        <f>SUM('DOE25'!G152:G160)</f>
        <v>427863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193582</v>
      </c>
      <c r="D90" s="131">
        <f>SUM(D84:D89)</f>
        <v>427863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14275100</v>
      </c>
      <c r="D103" s="86">
        <f>D62+D80+D90+D102</f>
        <v>609596</v>
      </c>
      <c r="E103" s="86">
        <f>E62+E80+E90+E102</f>
        <v>0</v>
      </c>
      <c r="F103" s="86">
        <f>F62+F80+F90+F102</f>
        <v>0</v>
      </c>
      <c r="G103" s="86">
        <f>G62+G80+G102</f>
        <v>380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4777714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3000164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107339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289339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18053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8192609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1475164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355387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744621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894143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1291957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622915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28126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646056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5412313</v>
      </c>
      <c r="D127" s="86">
        <f>SUM(D117:D126)</f>
        <v>646056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440659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186143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380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-380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626802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14231724</v>
      </c>
      <c r="D144" s="86">
        <f>(D114+D127+D143)</f>
        <v>646056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8/99</v>
      </c>
      <c r="C151" s="152" t="str">
        <f>'DOE25'!G490</f>
        <v>05/06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8/19</v>
      </c>
      <c r="C152" s="152" t="str">
        <f>'DOE25'!G491</f>
        <v>05/26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5010376</v>
      </c>
      <c r="C153" s="137">
        <f>'DOE25'!G492</f>
        <v>2700000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5.2</v>
      </c>
      <c r="C154" s="137">
        <f>'DOE25'!G493</f>
        <v>4.26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1750000</v>
      </c>
      <c r="C155" s="137">
        <f>'DOE25'!G494</f>
        <v>2007183.51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3757183.51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250000</v>
      </c>
      <c r="C157" s="137">
        <f>'DOE25'!G496</f>
        <v>142105.26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392105.26</v>
      </c>
    </row>
    <row r="158" spans="1:9" x14ac:dyDescent="0.2">
      <c r="A158" s="22" t="s">
        <v>35</v>
      </c>
      <c r="B158" s="137">
        <f>'DOE25'!F497</f>
        <v>1500000</v>
      </c>
      <c r="C158" s="137">
        <f>'DOE25'!G497</f>
        <v>1865078.25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3365078.25</v>
      </c>
    </row>
    <row r="159" spans="1:9" x14ac:dyDescent="0.2">
      <c r="A159" s="22" t="s">
        <v>36</v>
      </c>
      <c r="B159" s="137">
        <f>'DOE25'!F498</f>
        <v>324494</v>
      </c>
      <c r="C159" s="137">
        <f>'DOE25'!G498</f>
        <v>550358.32999999996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874852.33</v>
      </c>
    </row>
    <row r="160" spans="1:9" x14ac:dyDescent="0.2">
      <c r="A160" s="22" t="s">
        <v>37</v>
      </c>
      <c r="B160" s="137">
        <f>'DOE25'!F499</f>
        <v>1824494</v>
      </c>
      <c r="C160" s="137">
        <f>'DOE25'!G499</f>
        <v>2415436.58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4239930.58</v>
      </c>
    </row>
    <row r="161" spans="1:7" x14ac:dyDescent="0.2">
      <c r="A161" s="22" t="s">
        <v>38</v>
      </c>
      <c r="B161" s="137">
        <f>'DOE25'!F500</f>
        <v>250000</v>
      </c>
      <c r="C161" s="137">
        <f>'DOE25'!G500</f>
        <v>142105.26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392105.26</v>
      </c>
    </row>
    <row r="162" spans="1:7" x14ac:dyDescent="0.2">
      <c r="A162" s="22" t="s">
        <v>39</v>
      </c>
      <c r="B162" s="137">
        <f>'DOE25'!F501</f>
        <v>86733</v>
      </c>
      <c r="C162" s="137">
        <f>'DOE25'!G501</f>
        <v>76727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163460</v>
      </c>
    </row>
    <row r="163" spans="1:7" x14ac:dyDescent="0.2">
      <c r="A163" s="22" t="s">
        <v>246</v>
      </c>
      <c r="B163" s="137">
        <f>'DOE25'!F502</f>
        <v>336733</v>
      </c>
      <c r="C163" s="137">
        <f>'DOE25'!G502</f>
        <v>218832.26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555565.26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>Franklin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8370</v>
      </c>
    </row>
    <row r="5" spans="1:4" x14ac:dyDescent="0.2">
      <c r="B5" t="s">
        <v>704</v>
      </c>
      <c r="C5" s="179">
        <f>IF('DOE25'!G664+'DOE25'!G669=0,0,ROUND('DOE25'!G671,0))</f>
        <v>10920</v>
      </c>
    </row>
    <row r="6" spans="1:4" x14ac:dyDescent="0.2">
      <c r="B6" t="s">
        <v>62</v>
      </c>
      <c r="C6" s="179">
        <f>IF('DOE25'!H664+'DOE25'!H669=0,0,ROUND('DOE25'!H671,0))</f>
        <v>11285</v>
      </c>
    </row>
    <row r="7" spans="1:4" x14ac:dyDescent="0.2">
      <c r="B7" t="s">
        <v>705</v>
      </c>
      <c r="C7" s="179">
        <f>IF('DOE25'!I664+'DOE25'!I669=0,0,ROUND('DOE25'!I671,0))</f>
        <v>10072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4777714</v>
      </c>
      <c r="D10" s="182">
        <f>ROUND((C10/$C$28)*100,1)</f>
        <v>33.5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3000164</v>
      </c>
      <c r="D11" s="182">
        <f>ROUND((C11/$C$28)*100,1)</f>
        <v>21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107339</v>
      </c>
      <c r="D12" s="182">
        <f>ROUND((C12/$C$28)*100,1)</f>
        <v>0.8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289339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1475164</v>
      </c>
      <c r="D15" s="182">
        <f t="shared" ref="D15:D27" si="0">ROUND((C15/$C$28)*100,1)</f>
        <v>10.3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355387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772747</v>
      </c>
      <c r="D17" s="182">
        <f t="shared" si="0"/>
        <v>5.4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894143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1291957</v>
      </c>
      <c r="D20" s="182">
        <f t="shared" si="0"/>
        <v>9.1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622915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18053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ROUND('DOE25'!L260+'DOE25'!L341,0)</f>
        <v>186143</v>
      </c>
      <c r="D25" s="182">
        <f t="shared" si="0"/>
        <v>1.3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473572</v>
      </c>
      <c r="D27" s="182">
        <f t="shared" si="0"/>
        <v>3.3</v>
      </c>
    </row>
    <row r="28" spans="1:4" x14ac:dyDescent="0.2">
      <c r="B28" s="187" t="s">
        <v>723</v>
      </c>
      <c r="C28" s="180">
        <f>SUM(C10:C27)</f>
        <v>14264637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14264637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440659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3217126</v>
      </c>
      <c r="D35" s="182">
        <f t="shared" ref="D35:D40" si="1">ROUND((C35/$C$41)*100,1)</f>
        <v>21.9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699400</v>
      </c>
      <c r="D36" s="182">
        <f t="shared" si="1"/>
        <v>4.8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9817771</v>
      </c>
      <c r="D37" s="182">
        <f t="shared" si="1"/>
        <v>66.7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356850</v>
      </c>
      <c r="D38" s="182">
        <f t="shared" si="1"/>
        <v>2.4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621445</v>
      </c>
      <c r="D39" s="182">
        <f t="shared" si="1"/>
        <v>4.2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14712592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86" t="s">
        <v>767</v>
      </c>
      <c r="B2" s="287"/>
      <c r="C2" s="287"/>
      <c r="D2" s="287"/>
      <c r="E2" s="287"/>
      <c r="F2" s="292" t="str">
        <f>'DOE25'!A2</f>
        <v>Franklin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7"/>
      <c r="AO29" s="207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7"/>
      <c r="BB29" s="207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7"/>
      <c r="BO29" s="207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7"/>
      <c r="CB29" s="207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7"/>
      <c r="CO29" s="207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7"/>
      <c r="DB29" s="207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7"/>
      <c r="DO29" s="207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7"/>
      <c r="EB29" s="207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7"/>
      <c r="EO29" s="207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7"/>
      <c r="FB29" s="207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7"/>
      <c r="FO29" s="207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7"/>
      <c r="GB29" s="207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7"/>
      <c r="GO29" s="207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7"/>
      <c r="HB29" s="207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7"/>
      <c r="HO29" s="207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7"/>
      <c r="IB29" s="207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7"/>
      <c r="IO29" s="207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7"/>
      <c r="AO30" s="207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7"/>
      <c r="BB30" s="207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7"/>
      <c r="BO30" s="207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7"/>
      <c r="CB30" s="207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7"/>
      <c r="CO30" s="207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7"/>
      <c r="DB30" s="207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7"/>
      <c r="DO30" s="207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7"/>
      <c r="EB30" s="207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7"/>
      <c r="EO30" s="207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7"/>
      <c r="FB30" s="207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7"/>
      <c r="FO30" s="207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7"/>
      <c r="GB30" s="207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7"/>
      <c r="GO30" s="207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7"/>
      <c r="HB30" s="207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7"/>
      <c r="HO30" s="207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7"/>
      <c r="IB30" s="207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7"/>
      <c r="IO30" s="207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7"/>
      <c r="AO31" s="207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7"/>
      <c r="BB31" s="207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7"/>
      <c r="BO31" s="207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7"/>
      <c r="CB31" s="207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7"/>
      <c r="CO31" s="207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7"/>
      <c r="DB31" s="207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7"/>
      <c r="DO31" s="207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7"/>
      <c r="EB31" s="207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7"/>
      <c r="EO31" s="207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7"/>
      <c r="FB31" s="207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7"/>
      <c r="FO31" s="207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7"/>
      <c r="GB31" s="207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7"/>
      <c r="GO31" s="207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7"/>
      <c r="HB31" s="207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7"/>
      <c r="HO31" s="207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7"/>
      <c r="IB31" s="207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7"/>
      <c r="IO31" s="207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7"/>
      <c r="AO38" s="207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7"/>
      <c r="BB38" s="207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7"/>
      <c r="BO38" s="207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7"/>
      <c r="CB38" s="207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7"/>
      <c r="CO38" s="207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7"/>
      <c r="DB38" s="207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7"/>
      <c r="DO38" s="207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7"/>
      <c r="EB38" s="207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7"/>
      <c r="EO38" s="207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7"/>
      <c r="FB38" s="207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7"/>
      <c r="FO38" s="207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7"/>
      <c r="GB38" s="207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7"/>
      <c r="GO38" s="207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7"/>
      <c r="HB38" s="207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7"/>
      <c r="HO38" s="207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7"/>
      <c r="IB38" s="207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7"/>
      <c r="IO38" s="207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7"/>
      <c r="AO39" s="207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7"/>
      <c r="BB39" s="207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7"/>
      <c r="BO39" s="207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7"/>
      <c r="CB39" s="207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7"/>
      <c r="CO39" s="207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7"/>
      <c r="DB39" s="207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7"/>
      <c r="DO39" s="207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7"/>
      <c r="EB39" s="207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7"/>
      <c r="EO39" s="207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7"/>
      <c r="FB39" s="207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7"/>
      <c r="FO39" s="207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7"/>
      <c r="GB39" s="207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7"/>
      <c r="GO39" s="207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7"/>
      <c r="HB39" s="207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7"/>
      <c r="HO39" s="207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7"/>
      <c r="IB39" s="207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7"/>
      <c r="IO39" s="207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7"/>
      <c r="AO40" s="207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7"/>
      <c r="BB40" s="207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7"/>
      <c r="BO40" s="207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7"/>
      <c r="CB40" s="207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7"/>
      <c r="CO40" s="207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7"/>
      <c r="DB40" s="207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7"/>
      <c r="DO40" s="207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7"/>
      <c r="EB40" s="207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7"/>
      <c r="EO40" s="207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7"/>
      <c r="FB40" s="207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7"/>
      <c r="FO40" s="207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7"/>
      <c r="GB40" s="207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7"/>
      <c r="GO40" s="207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7"/>
      <c r="HB40" s="207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7"/>
      <c r="HO40" s="207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7"/>
      <c r="IB40" s="207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7"/>
      <c r="IO40" s="207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9" t="s">
        <v>848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1"/>
      <c r="B74" s="211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1"/>
      <c r="B75" s="211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1"/>
      <c r="B76" s="211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1"/>
      <c r="B77" s="211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1"/>
      <c r="B78" s="211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1"/>
      <c r="B79" s="211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1"/>
      <c r="B80" s="211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1"/>
      <c r="B81" s="211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1"/>
      <c r="B82" s="211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1"/>
      <c r="B83" s="211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1"/>
      <c r="B84" s="211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1"/>
      <c r="B85" s="211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1"/>
      <c r="B86" s="211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1"/>
      <c r="B87" s="211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1"/>
      <c r="B88" s="211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1"/>
      <c r="B89" s="211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1"/>
      <c r="B90" s="211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BB0A" sheet="1" objects="1" scenarios="1"/>
  <mergeCells count="223">
    <mergeCell ref="C58:M58"/>
    <mergeCell ref="C57:M57"/>
    <mergeCell ref="C59:M59"/>
    <mergeCell ref="C89:M89"/>
    <mergeCell ref="C90:M90"/>
    <mergeCell ref="C76:M76"/>
    <mergeCell ref="C88:M88"/>
    <mergeCell ref="C70:M70"/>
    <mergeCell ref="A72:E72"/>
    <mergeCell ref="C83:M83"/>
    <mergeCell ref="C84:M84"/>
    <mergeCell ref="C85:M85"/>
    <mergeCell ref="C86:M86"/>
    <mergeCell ref="C87:M87"/>
    <mergeCell ref="C77:M77"/>
    <mergeCell ref="C78:M78"/>
    <mergeCell ref="C79:M79"/>
    <mergeCell ref="C80:M80"/>
    <mergeCell ref="C73:M73"/>
    <mergeCell ref="C74:M74"/>
    <mergeCell ref="C81:M81"/>
    <mergeCell ref="C82:M82"/>
    <mergeCell ref="C75:M75"/>
    <mergeCell ref="C67:M67"/>
    <mergeCell ref="C68:M68"/>
    <mergeCell ref="C69:M69"/>
    <mergeCell ref="C65:M65"/>
    <mergeCell ref="C56:M56"/>
    <mergeCell ref="C21:M21"/>
    <mergeCell ref="C22:M22"/>
    <mergeCell ref="C23:M23"/>
    <mergeCell ref="C24:M24"/>
    <mergeCell ref="C29:M29"/>
    <mergeCell ref="C25:M25"/>
    <mergeCell ref="C26:M26"/>
    <mergeCell ref="C28:M28"/>
    <mergeCell ref="C38:M38"/>
    <mergeCell ref="C52:M52"/>
    <mergeCell ref="C50:M50"/>
    <mergeCell ref="C63:M63"/>
    <mergeCell ref="C64:M64"/>
    <mergeCell ref="C66:M66"/>
    <mergeCell ref="C61:M61"/>
    <mergeCell ref="C53:M53"/>
    <mergeCell ref="C54:M54"/>
    <mergeCell ref="C55:M55"/>
    <mergeCell ref="C60:M60"/>
    <mergeCell ref="C42:M42"/>
    <mergeCell ref="BP29:BZ29"/>
    <mergeCell ref="C34:M34"/>
    <mergeCell ref="C35:M35"/>
    <mergeCell ref="C30:M30"/>
    <mergeCell ref="C31:M31"/>
    <mergeCell ref="C62:M62"/>
    <mergeCell ref="C39:M39"/>
    <mergeCell ref="C40:M40"/>
    <mergeCell ref="C47:M47"/>
    <mergeCell ref="C48:M48"/>
    <mergeCell ref="C36:M36"/>
    <mergeCell ref="C46:M46"/>
    <mergeCell ref="C44:M44"/>
    <mergeCell ref="C43:M43"/>
    <mergeCell ref="C49:M49"/>
    <mergeCell ref="C51:M51"/>
    <mergeCell ref="P30:Z30"/>
    <mergeCell ref="AC30:AM30"/>
    <mergeCell ref="AP30:AZ30"/>
    <mergeCell ref="C41:M41"/>
    <mergeCell ref="C33:M33"/>
    <mergeCell ref="C37:M37"/>
    <mergeCell ref="AC29:AM29"/>
    <mergeCell ref="BC29:BM29"/>
    <mergeCell ref="A2:E2"/>
    <mergeCell ref="C5:M5"/>
    <mergeCell ref="C6:M6"/>
    <mergeCell ref="C7:M7"/>
    <mergeCell ref="DC32:DM32"/>
    <mergeCell ref="A1:I1"/>
    <mergeCell ref="C3:M3"/>
    <mergeCell ref="C4:M4"/>
    <mergeCell ref="F2:I2"/>
    <mergeCell ref="P29:Z29"/>
    <mergeCell ref="CC29:CM29"/>
    <mergeCell ref="P31:Z31"/>
    <mergeCell ref="AC31:AM31"/>
    <mergeCell ref="AP31:AZ31"/>
    <mergeCell ref="P32:Z32"/>
    <mergeCell ref="AC32:AM32"/>
    <mergeCell ref="AP32:AZ32"/>
    <mergeCell ref="C18:M18"/>
    <mergeCell ref="C19:M19"/>
    <mergeCell ref="C20:M20"/>
    <mergeCell ref="DC29:DM29"/>
    <mergeCell ref="AP29:AZ29"/>
    <mergeCell ref="C14:M14"/>
    <mergeCell ref="C15:M15"/>
    <mergeCell ref="C8:M8"/>
    <mergeCell ref="C13:M13"/>
    <mergeCell ref="C9:M9"/>
    <mergeCell ref="C10:M10"/>
    <mergeCell ref="C11:M11"/>
    <mergeCell ref="C12:M12"/>
    <mergeCell ref="C16:M16"/>
    <mergeCell ref="C17:M17"/>
    <mergeCell ref="C27:M27"/>
    <mergeCell ref="BC30:BM30"/>
    <mergeCell ref="C32:M32"/>
    <mergeCell ref="BC31:BM31"/>
    <mergeCell ref="BC32:BM32"/>
    <mergeCell ref="BC39:BM39"/>
    <mergeCell ref="P40:Z40"/>
    <mergeCell ref="IC31:IM31"/>
    <mergeCell ref="IP31:IV31"/>
    <mergeCell ref="CP32:CZ32"/>
    <mergeCell ref="CP30:CZ30"/>
    <mergeCell ref="HP31:HZ31"/>
    <mergeCell ref="HP38:HZ38"/>
    <mergeCell ref="HP32:HZ32"/>
    <mergeCell ref="GP32:GZ32"/>
    <mergeCell ref="FC32:FM32"/>
    <mergeCell ref="HC31:HM31"/>
    <mergeCell ref="BP38:BZ38"/>
    <mergeCell ref="CC38:CM38"/>
    <mergeCell ref="HP39:HZ39"/>
    <mergeCell ref="DC31:DM31"/>
    <mergeCell ref="DP31:DZ31"/>
    <mergeCell ref="EC31:EM31"/>
    <mergeCell ref="EP31:EZ31"/>
    <mergeCell ref="DC38:DM38"/>
    <mergeCell ref="EC29:EM29"/>
    <mergeCell ref="EP29:EZ29"/>
    <mergeCell ref="FC29:FM29"/>
    <mergeCell ref="CP29:CZ29"/>
    <mergeCell ref="IC30:IM30"/>
    <mergeCell ref="IP30:IV30"/>
    <mergeCell ref="GP30:GZ30"/>
    <mergeCell ref="FP29:FZ29"/>
    <mergeCell ref="GC29:GM29"/>
    <mergeCell ref="GP29:GZ29"/>
    <mergeCell ref="HP29:HZ29"/>
    <mergeCell ref="IC29:IM29"/>
    <mergeCell ref="HC29:HM29"/>
    <mergeCell ref="HP30:HZ30"/>
    <mergeCell ref="IP29:IV29"/>
    <mergeCell ref="DP29:DZ29"/>
    <mergeCell ref="DC30:DM30"/>
    <mergeCell ref="DP30:DZ30"/>
    <mergeCell ref="GC30:GM30"/>
    <mergeCell ref="EC30:EM30"/>
    <mergeCell ref="HC30:HM30"/>
    <mergeCell ref="GC31:GM31"/>
    <mergeCell ref="GP31:GZ31"/>
    <mergeCell ref="EP32:EZ32"/>
    <mergeCell ref="BP32:BZ32"/>
    <mergeCell ref="BP30:BZ30"/>
    <mergeCell ref="EP30:EZ30"/>
    <mergeCell ref="DP32:DZ32"/>
    <mergeCell ref="EC32:EM32"/>
    <mergeCell ref="CP31:CZ31"/>
    <mergeCell ref="FP32:FZ32"/>
    <mergeCell ref="GC32:GM32"/>
    <mergeCell ref="BP31:BZ31"/>
    <mergeCell ref="CC31:CM31"/>
    <mergeCell ref="CC32:CM32"/>
    <mergeCell ref="CC30:CM30"/>
    <mergeCell ref="FC30:FM30"/>
    <mergeCell ref="FP30:FZ30"/>
    <mergeCell ref="FC31:FM31"/>
    <mergeCell ref="FP31:FZ31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9:Z39"/>
    <mergeCell ref="AC39:AM39"/>
    <mergeCell ref="AP39:AZ39"/>
    <mergeCell ref="IC38:IM38"/>
    <mergeCell ref="IP38:IV38"/>
    <mergeCell ref="CP38:CZ38"/>
    <mergeCell ref="BC38:BM38"/>
    <mergeCell ref="P38:Z38"/>
    <mergeCell ref="AC38:AM38"/>
    <mergeCell ref="DP38:DZ38"/>
    <mergeCell ref="EC38:EM38"/>
    <mergeCell ref="BP39:BZ39"/>
    <mergeCell ref="CC39:CM39"/>
    <mergeCell ref="IP39:IV39"/>
    <mergeCell ref="EP39:EZ39"/>
    <mergeCell ref="FC39:FM39"/>
    <mergeCell ref="FP39:FZ39"/>
    <mergeCell ref="GP39:GZ39"/>
    <mergeCell ref="IC39:IM39"/>
    <mergeCell ref="AP38:AZ38"/>
    <mergeCell ref="CP39:CZ39"/>
    <mergeCell ref="HC39:HM39"/>
    <mergeCell ref="DC39:DM39"/>
    <mergeCell ref="DP39:DZ39"/>
    <mergeCell ref="EC39:EM39"/>
    <mergeCell ref="GC39:GM39"/>
    <mergeCell ref="GC40:GM40"/>
    <mergeCell ref="GP40:GZ40"/>
    <mergeCell ref="HC40:HM40"/>
    <mergeCell ref="EC40:EM40"/>
    <mergeCell ref="DP40:DZ40"/>
    <mergeCell ref="AC40:AM40"/>
    <mergeCell ref="AP40:AZ40"/>
    <mergeCell ref="IP40:IV40"/>
    <mergeCell ref="C45:M45"/>
    <mergeCell ref="HP40:HZ40"/>
    <mergeCell ref="IC40:IM40"/>
    <mergeCell ref="FC40:FM40"/>
    <mergeCell ref="FP40:FZ40"/>
    <mergeCell ref="CP40:CZ40"/>
    <mergeCell ref="CC40:CM40"/>
    <mergeCell ref="BC40:BM40"/>
    <mergeCell ref="BP40:B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2013-11-20T12:55:50Z</cp:lastPrinted>
  <dcterms:created xsi:type="dcterms:W3CDTF">1997-12-04T19:04:30Z</dcterms:created>
  <dcterms:modified xsi:type="dcterms:W3CDTF">2013-12-05T18:41:48Z</dcterms:modified>
</cp:coreProperties>
</file>