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" i="1" l="1"/>
  <c r="F9" i="1" l="1"/>
  <c r="F471" i="1"/>
  <c r="C37" i="12" l="1"/>
  <c r="B37" i="12"/>
  <c r="C19" i="12"/>
  <c r="B19" i="12"/>
  <c r="B21" i="12"/>
  <c r="B20" i="12"/>
  <c r="C10" i="12"/>
  <c r="B12" i="12"/>
  <c r="B10" i="12"/>
  <c r="D11" i="13"/>
  <c r="F13" i="1" l="1"/>
  <c r="G14" i="1" l="1"/>
  <c r="K530" i="1"/>
  <c r="I530" i="1"/>
  <c r="H530" i="1"/>
  <c r="G530" i="1"/>
  <c r="F530" i="1"/>
  <c r="H540" i="1"/>
  <c r="I520" i="1"/>
  <c r="H520" i="1"/>
  <c r="G520" i="1"/>
  <c r="F520" i="1"/>
  <c r="J520" i="1"/>
  <c r="I525" i="1"/>
  <c r="H525" i="1"/>
  <c r="G525" i="1"/>
  <c r="F525" i="1"/>
  <c r="H527" i="1"/>
  <c r="H522" i="1"/>
  <c r="I281" i="1"/>
  <c r="I275" i="1"/>
  <c r="I276" i="1"/>
  <c r="H276" i="1"/>
  <c r="G281" i="1"/>
  <c r="G276" i="1"/>
  <c r="G275" i="1"/>
  <c r="H158" i="1"/>
  <c r="H153" i="1"/>
  <c r="F109" i="1"/>
  <c r="F62" i="1"/>
  <c r="H243" i="1" l="1"/>
  <c r="H237" i="1"/>
  <c r="L237" i="1" s="1"/>
  <c r="H207" i="1"/>
  <c r="L207" i="1" s="1"/>
  <c r="J206" i="1"/>
  <c r="I206" i="1"/>
  <c r="H206" i="1"/>
  <c r="G206" i="1"/>
  <c r="F206" i="1"/>
  <c r="K204" i="1"/>
  <c r="J204" i="1"/>
  <c r="F12" i="13" s="1"/>
  <c r="H204" i="1"/>
  <c r="G204" i="1"/>
  <c r="F204" i="1"/>
  <c r="K203" i="1"/>
  <c r="K210" i="1" s="1"/>
  <c r="K256" i="1" s="1"/>
  <c r="I203" i="1"/>
  <c r="H203" i="1"/>
  <c r="G203" i="1"/>
  <c r="F203" i="1"/>
  <c r="J202" i="1"/>
  <c r="F7" i="13" s="1"/>
  <c r="I202" i="1"/>
  <c r="H202" i="1"/>
  <c r="G202" i="1"/>
  <c r="F202" i="1"/>
  <c r="H201" i="1"/>
  <c r="I201" i="1"/>
  <c r="G201" i="1"/>
  <c r="F201" i="1"/>
  <c r="H199" i="1"/>
  <c r="L199" i="1" s="1"/>
  <c r="G199" i="1"/>
  <c r="F199" i="1"/>
  <c r="I197" i="1"/>
  <c r="J197" i="1"/>
  <c r="H197" i="1"/>
  <c r="G197" i="1"/>
  <c r="C18" i="12" s="1"/>
  <c r="F197" i="1"/>
  <c r="F196" i="1"/>
  <c r="L196" i="1" s="1"/>
  <c r="I196" i="1"/>
  <c r="G196" i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67" i="2"/>
  <c r="B2" i="13"/>
  <c r="F8" i="13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8" i="1"/>
  <c r="L214" i="1"/>
  <c r="L215" i="1"/>
  <c r="L216" i="1"/>
  <c r="L217" i="1"/>
  <c r="L232" i="1"/>
  <c r="L233" i="1"/>
  <c r="L234" i="1"/>
  <c r="L235" i="1"/>
  <c r="F6" i="13"/>
  <c r="G6" i="13"/>
  <c r="L219" i="1"/>
  <c r="G7" i="13"/>
  <c r="L220" i="1"/>
  <c r="L238" i="1"/>
  <c r="G12" i="13"/>
  <c r="L222" i="1"/>
  <c r="L240" i="1"/>
  <c r="F14" i="13"/>
  <c r="G14" i="13"/>
  <c r="L224" i="1"/>
  <c r="L242" i="1"/>
  <c r="F15" i="13"/>
  <c r="G15" i="13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F660" i="1" s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E124" i="2" s="1"/>
  <c r="E127" i="2" s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H25" i="13" s="1"/>
  <c r="H33" i="13" s="1"/>
  <c r="L260" i="1"/>
  <c r="C25" i="10" s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22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J111" i="1" s="1"/>
  <c r="G55" i="2"/>
  <c r="G58" i="2"/>
  <c r="G60" i="2"/>
  <c r="F2" i="11"/>
  <c r="L612" i="1"/>
  <c r="H662" i="1" s="1"/>
  <c r="L611" i="1"/>
  <c r="G662" i="1"/>
  <c r="L610" i="1"/>
  <c r="F662" i="1" s="1"/>
  <c r="C40" i="10"/>
  <c r="F59" i="1"/>
  <c r="G59" i="1"/>
  <c r="H59" i="1"/>
  <c r="I59" i="1"/>
  <c r="F78" i="1"/>
  <c r="F93" i="1"/>
  <c r="F110" i="1"/>
  <c r="G110" i="1"/>
  <c r="H78" i="1"/>
  <c r="H93" i="1"/>
  <c r="H110" i="1"/>
  <c r="I110" i="1"/>
  <c r="I111" i="1"/>
  <c r="J110" i="1"/>
  <c r="F120" i="1"/>
  <c r="F135" i="1"/>
  <c r="F139" i="1" s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9" i="10"/>
  <c r="L249" i="1"/>
  <c r="C23" i="10" s="1"/>
  <c r="L331" i="1"/>
  <c r="L253" i="1"/>
  <c r="L267" i="1"/>
  <c r="L268" i="1"/>
  <c r="L348" i="1"/>
  <c r="L349" i="1"/>
  <c r="I664" i="1"/>
  <c r="I669" i="1"/>
  <c r="L228" i="1"/>
  <c r="G660" i="1"/>
  <c r="H660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/>
  <c r="L522" i="1"/>
  <c r="F550" i="1" s="1"/>
  <c r="L525" i="1"/>
  <c r="G548" i="1" s="1"/>
  <c r="L526" i="1"/>
  <c r="G549" i="1" s="1"/>
  <c r="L527" i="1"/>
  <c r="G550" i="1"/>
  <c r="L530" i="1"/>
  <c r="H548" i="1" s="1"/>
  <c r="L531" i="1"/>
  <c r="H549" i="1"/>
  <c r="L532" i="1"/>
  <c r="H550" i="1" s="1"/>
  <c r="L535" i="1"/>
  <c r="I548" i="1" s="1"/>
  <c r="L536" i="1"/>
  <c r="I549" i="1" s="1"/>
  <c r="L537" i="1"/>
  <c r="I550" i="1"/>
  <c r="L540" i="1"/>
  <c r="J548" i="1" s="1"/>
  <c r="L541" i="1"/>
  <c r="J549" i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/>
  <c r="G13" i="2" s="1"/>
  <c r="F14" i="2"/>
  <c r="C15" i="2"/>
  <c r="D15" i="2"/>
  <c r="D18" i="2" s="1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/>
  <c r="G47" i="2"/>
  <c r="I455" i="1"/>
  <c r="J43" i="1" s="1"/>
  <c r="I456" i="1"/>
  <c r="J37" i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9" i="2" s="1"/>
  <c r="C68" i="2"/>
  <c r="D68" i="2"/>
  <c r="D69" i="2"/>
  <c r="E68" i="2"/>
  <c r="E69" i="2"/>
  <c r="F68" i="2"/>
  <c r="F69" i="2"/>
  <c r="G68" i="2"/>
  <c r="G69" i="2"/>
  <c r="C71" i="2"/>
  <c r="C77" i="2" s="1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9" i="2"/>
  <c r="C110" i="2"/>
  <c r="E110" i="2"/>
  <c r="E111" i="2"/>
  <c r="C112" i="2"/>
  <c r="E112" i="2"/>
  <c r="C113" i="2"/>
  <c r="E113" i="2"/>
  <c r="D114" i="2"/>
  <c r="F114" i="2"/>
  <c r="G114" i="2"/>
  <c r="E117" i="2"/>
  <c r="E118" i="2"/>
  <c r="E119" i="2"/>
  <c r="E120" i="2"/>
  <c r="C121" i="2"/>
  <c r="E121" i="2"/>
  <c r="E122" i="2"/>
  <c r="E123" i="2"/>
  <c r="C124" i="2"/>
  <c r="F127" i="2"/>
  <c r="G127" i="2"/>
  <c r="C129" i="2"/>
  <c r="E129" i="2"/>
  <c r="F129" i="2"/>
  <c r="F143" i="2" s="1"/>
  <c r="F144" i="2" s="1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/>
  <c r="I499" i="1"/>
  <c r="E160" i="2" s="1"/>
  <c r="J499" i="1"/>
  <c r="F160" i="2"/>
  <c r="B161" i="2"/>
  <c r="C161" i="2"/>
  <c r="D161" i="2"/>
  <c r="G161" i="2" s="1"/>
  <c r="E161" i="2"/>
  <c r="F161" i="2"/>
  <c r="B162" i="2"/>
  <c r="G162" i="2" s="1"/>
  <c r="C162" i="2"/>
  <c r="D162" i="2"/>
  <c r="E162" i="2"/>
  <c r="F162" i="2"/>
  <c r="F502" i="1"/>
  <c r="B163" i="2" s="1"/>
  <c r="G502" i="1"/>
  <c r="C163" i="2" s="1"/>
  <c r="H502" i="1"/>
  <c r="D163" i="2"/>
  <c r="I502" i="1"/>
  <c r="E163" i="2" s="1"/>
  <c r="J502" i="1"/>
  <c r="F163" i="2"/>
  <c r="F19" i="1"/>
  <c r="G616" i="1" s="1"/>
  <c r="G19" i="1"/>
  <c r="H19" i="1"/>
  <c r="I19" i="1"/>
  <c r="F32" i="1"/>
  <c r="G32" i="1"/>
  <c r="H32" i="1"/>
  <c r="I32" i="1"/>
  <c r="I51" i="1" s="1"/>
  <c r="H619" i="1" s="1"/>
  <c r="J619" i="1" s="1"/>
  <c r="F50" i="1"/>
  <c r="G50" i="1"/>
  <c r="G51" i="1" s="1"/>
  <c r="H617" i="1" s="1"/>
  <c r="H50" i="1"/>
  <c r="H51" i="1"/>
  <c r="H618" i="1" s="1"/>
  <c r="I50" i="1"/>
  <c r="F176" i="1"/>
  <c r="I176" i="1"/>
  <c r="F182" i="1"/>
  <c r="G182" i="1"/>
  <c r="H182" i="1"/>
  <c r="I182" i="1"/>
  <c r="J182" i="1"/>
  <c r="G644" i="1" s="1"/>
  <c r="F187" i="1"/>
  <c r="G187" i="1"/>
  <c r="H187" i="1"/>
  <c r="I187" i="1"/>
  <c r="J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H337" i="1" s="1"/>
  <c r="H351" i="1" s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L336" i="1" s="1"/>
  <c r="G336" i="1"/>
  <c r="H336" i="1"/>
  <c r="I336" i="1"/>
  <c r="J336" i="1"/>
  <c r="J337" i="1"/>
  <c r="J351" i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F451" i="1"/>
  <c r="G451" i="1"/>
  <c r="H451" i="1"/>
  <c r="I451" i="1"/>
  <c r="F459" i="1"/>
  <c r="F460" i="1" s="1"/>
  <c r="H638" i="1" s="1"/>
  <c r="J638" i="1" s="1"/>
  <c r="G459" i="1"/>
  <c r="G460" i="1" s="1"/>
  <c r="H639" i="1" s="1"/>
  <c r="H459" i="1"/>
  <c r="H460" i="1"/>
  <c r="F469" i="1"/>
  <c r="G469" i="1"/>
  <c r="G475" i="1" s="1"/>
  <c r="H622" i="1" s="1"/>
  <c r="J622" i="1" s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J544" i="1" s="1"/>
  <c r="K523" i="1"/>
  <c r="F528" i="1"/>
  <c r="G528" i="1"/>
  <c r="H528" i="1"/>
  <c r="I528" i="1"/>
  <c r="I544" i="1" s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/>
  <c r="J597" i="1"/>
  <c r="H650" i="1" s="1"/>
  <c r="J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L613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G640" i="1"/>
  <c r="H640" i="1"/>
  <c r="G642" i="1"/>
  <c r="J642" i="1" s="1"/>
  <c r="H642" i="1"/>
  <c r="G643" i="1"/>
  <c r="H643" i="1"/>
  <c r="H644" i="1"/>
  <c r="G649" i="1"/>
  <c r="G650" i="1"/>
  <c r="G651" i="1"/>
  <c r="H651" i="1"/>
  <c r="G652" i="1"/>
  <c r="H652" i="1"/>
  <c r="G653" i="1"/>
  <c r="H653" i="1"/>
  <c r="H654" i="1"/>
  <c r="F191" i="1"/>
  <c r="L255" i="1"/>
  <c r="C18" i="2"/>
  <c r="F31" i="2"/>
  <c r="C26" i="10"/>
  <c r="L327" i="1"/>
  <c r="L350" i="1"/>
  <c r="A31" i="12"/>
  <c r="D61" i="2"/>
  <c r="D62" i="2" s="1"/>
  <c r="E49" i="2"/>
  <c r="D18" i="13"/>
  <c r="C18" i="13" s="1"/>
  <c r="F102" i="2"/>
  <c r="E18" i="2"/>
  <c r="D17" i="13"/>
  <c r="C17" i="13" s="1"/>
  <c r="G158" i="2"/>
  <c r="C90" i="2"/>
  <c r="G80" i="2"/>
  <c r="F77" i="2"/>
  <c r="F80" i="2"/>
  <c r="F61" i="2"/>
  <c r="F62" i="2" s="1"/>
  <c r="F103" i="2" s="1"/>
  <c r="D31" i="2"/>
  <c r="D49" i="2"/>
  <c r="F49" i="2"/>
  <c r="F50" i="2"/>
  <c r="F18" i="2"/>
  <c r="E143" i="2"/>
  <c r="G102" i="2"/>
  <c r="E102" i="2"/>
  <c r="C102" i="2"/>
  <c r="F90" i="2"/>
  <c r="E61" i="2"/>
  <c r="E62" i="2" s="1"/>
  <c r="C61" i="2"/>
  <c r="C62" i="2" s="1"/>
  <c r="E31" i="2"/>
  <c r="E50" i="2" s="1"/>
  <c r="G61" i="2"/>
  <c r="D29" i="13"/>
  <c r="C29" i="13" s="1"/>
  <c r="D19" i="13"/>
  <c r="C19" i="13"/>
  <c r="E13" i="13"/>
  <c r="C13" i="13" s="1"/>
  <c r="E77" i="2"/>
  <c r="E80" i="2"/>
  <c r="L426" i="1"/>
  <c r="H111" i="1"/>
  <c r="F111" i="1"/>
  <c r="J640" i="1"/>
  <c r="J570" i="1"/>
  <c r="K570" i="1"/>
  <c r="L432" i="1"/>
  <c r="L418" i="1"/>
  <c r="I168" i="1"/>
  <c r="H168" i="1"/>
  <c r="J643" i="1"/>
  <c r="H475" i="1"/>
  <c r="H623" i="1" s="1"/>
  <c r="J623" i="1" s="1"/>
  <c r="I475" i="1"/>
  <c r="H624" i="1" s="1"/>
  <c r="J624" i="1" s="1"/>
  <c r="G337" i="1"/>
  <c r="G351" i="1" s="1"/>
  <c r="F168" i="1"/>
  <c r="J139" i="1"/>
  <c r="F570" i="1"/>
  <c r="G22" i="2"/>
  <c r="K544" i="1"/>
  <c r="C29" i="10"/>
  <c r="H139" i="1"/>
  <c r="L400" i="1"/>
  <c r="C138" i="2" s="1"/>
  <c r="L392" i="1"/>
  <c r="F22" i="13"/>
  <c r="H570" i="1"/>
  <c r="L559" i="1"/>
  <c r="F337" i="1"/>
  <c r="F351" i="1" s="1"/>
  <c r="G191" i="1"/>
  <c r="H191" i="1"/>
  <c r="C35" i="10"/>
  <c r="L308" i="1"/>
  <c r="E16" i="13"/>
  <c r="L569" i="1"/>
  <c r="I570" i="1"/>
  <c r="G36" i="2"/>
  <c r="L564" i="1"/>
  <c r="L570" i="1" s="1"/>
  <c r="C22" i="13"/>
  <c r="C137" i="2"/>
  <c r="C16" i="13"/>
  <c r="C24" i="10"/>
  <c r="G659" i="1"/>
  <c r="G663" i="1" s="1"/>
  <c r="G31" i="13"/>
  <c r="J649" i="1"/>
  <c r="L406" i="1"/>
  <c r="C139" i="2"/>
  <c r="I191" i="1"/>
  <c r="E90" i="2"/>
  <c r="L407" i="1"/>
  <c r="G636" i="1" s="1"/>
  <c r="D50" i="2"/>
  <c r="J653" i="1"/>
  <c r="J652" i="1"/>
  <c r="L433" i="1"/>
  <c r="G637" i="1" s="1"/>
  <c r="J433" i="1"/>
  <c r="F433" i="1"/>
  <c r="K433" i="1"/>
  <c r="G133" i="2" s="1"/>
  <c r="G143" i="2" s="1"/>
  <c r="G144" i="2" s="1"/>
  <c r="F31" i="13"/>
  <c r="H192" i="1"/>
  <c r="G628" i="1" s="1"/>
  <c r="J628" i="1" s="1"/>
  <c r="G168" i="1"/>
  <c r="G139" i="1"/>
  <c r="G62" i="2"/>
  <c r="C5" i="10"/>
  <c r="G16" i="2"/>
  <c r="H433" i="1"/>
  <c r="D102" i="2"/>
  <c r="I139" i="1"/>
  <c r="I192" i="1" s="1"/>
  <c r="G629" i="1" s="1"/>
  <c r="J629" i="1" s="1"/>
  <c r="H645" i="1"/>
  <c r="J651" i="1"/>
  <c r="G570" i="1"/>
  <c r="I433" i="1"/>
  <c r="G433" i="1"/>
  <c r="C49" i="2" l="1"/>
  <c r="I459" i="1"/>
  <c r="I460" i="1" s="1"/>
  <c r="H641" i="1" s="1"/>
  <c r="J641" i="1" s="1"/>
  <c r="I445" i="1"/>
  <c r="G641" i="1" s="1"/>
  <c r="C140" i="2"/>
  <c r="J644" i="1"/>
  <c r="J654" i="1"/>
  <c r="K270" i="1"/>
  <c r="G103" i="2"/>
  <c r="J191" i="1"/>
  <c r="J192" i="1" s="1"/>
  <c r="A40" i="12"/>
  <c r="A13" i="12"/>
  <c r="J475" i="1"/>
  <c r="H625" i="1" s="1"/>
  <c r="J637" i="1"/>
  <c r="F51" i="1"/>
  <c r="H616" i="1" s="1"/>
  <c r="J616" i="1" s="1"/>
  <c r="C31" i="2"/>
  <c r="C50" i="2" s="1"/>
  <c r="J635" i="1"/>
  <c r="J636" i="1"/>
  <c r="F475" i="1"/>
  <c r="H621" i="1" s="1"/>
  <c r="J621" i="1" s="1"/>
  <c r="J618" i="1"/>
  <c r="J617" i="1"/>
  <c r="K597" i="1"/>
  <c r="G646" i="1" s="1"/>
  <c r="I662" i="1"/>
  <c r="I551" i="1"/>
  <c r="L533" i="1"/>
  <c r="F544" i="1"/>
  <c r="L528" i="1"/>
  <c r="G544" i="1"/>
  <c r="H544" i="1"/>
  <c r="L523" i="1"/>
  <c r="G157" i="2"/>
  <c r="G155" i="2"/>
  <c r="G159" i="2"/>
  <c r="G163" i="2"/>
  <c r="K499" i="1"/>
  <c r="J633" i="1"/>
  <c r="C143" i="2"/>
  <c r="L289" i="1"/>
  <c r="D31" i="13" s="1"/>
  <c r="C31" i="13" s="1"/>
  <c r="E108" i="2"/>
  <c r="E114" i="2" s="1"/>
  <c r="E144" i="2" s="1"/>
  <c r="C39" i="10"/>
  <c r="E103" i="2"/>
  <c r="C80" i="2"/>
  <c r="C103" i="2" s="1"/>
  <c r="D103" i="2"/>
  <c r="C38" i="10"/>
  <c r="G111" i="1"/>
  <c r="C36" i="10" s="1"/>
  <c r="I660" i="1"/>
  <c r="D126" i="2"/>
  <c r="D127" i="2" s="1"/>
  <c r="D144" i="2" s="1"/>
  <c r="L361" i="1"/>
  <c r="J32" i="1"/>
  <c r="G21" i="2"/>
  <c r="G31" i="2" s="1"/>
  <c r="K550" i="1"/>
  <c r="J639" i="1"/>
  <c r="G160" i="2"/>
  <c r="J551" i="1"/>
  <c r="G551" i="1"/>
  <c r="K549" i="1"/>
  <c r="C27" i="10"/>
  <c r="G634" i="1"/>
  <c r="J634" i="1" s="1"/>
  <c r="G666" i="1"/>
  <c r="G671" i="1"/>
  <c r="J19" i="1"/>
  <c r="G620" i="1" s="1"/>
  <c r="G9" i="2"/>
  <c r="G18" i="2" s="1"/>
  <c r="H551" i="1"/>
  <c r="G42" i="2"/>
  <c r="G49" i="2" s="1"/>
  <c r="G50" i="2" s="1"/>
  <c r="J50" i="1"/>
  <c r="K548" i="1"/>
  <c r="F551" i="1"/>
  <c r="F192" i="1"/>
  <c r="G626" i="1" s="1"/>
  <c r="J626" i="1" s="1"/>
  <c r="C25" i="13"/>
  <c r="J256" i="1"/>
  <c r="J270" i="1" s="1"/>
  <c r="G8" i="13"/>
  <c r="G33" i="13" s="1"/>
  <c r="L246" i="1"/>
  <c r="H659" i="1" s="1"/>
  <c r="H663" i="1" s="1"/>
  <c r="H671" i="1" s="1"/>
  <c r="C6" i="10" s="1"/>
  <c r="C123" i="2"/>
  <c r="G648" i="1"/>
  <c r="J648" i="1" s="1"/>
  <c r="C21" i="10"/>
  <c r="D15" i="13"/>
  <c r="C15" i="13" s="1"/>
  <c r="F661" i="1"/>
  <c r="I661" i="1" s="1"/>
  <c r="H646" i="1"/>
  <c r="L206" i="1"/>
  <c r="C20" i="10" s="1"/>
  <c r="F33" i="13"/>
  <c r="L204" i="1"/>
  <c r="C18" i="10" s="1"/>
  <c r="L203" i="1"/>
  <c r="L202" i="1"/>
  <c r="C118" i="2" s="1"/>
  <c r="C16" i="10"/>
  <c r="F210" i="1"/>
  <c r="F256" i="1" s="1"/>
  <c r="F270" i="1" s="1"/>
  <c r="I210" i="1"/>
  <c r="I256" i="1" s="1"/>
  <c r="I270" i="1" s="1"/>
  <c r="L201" i="1"/>
  <c r="C117" i="2" s="1"/>
  <c r="G210" i="1"/>
  <c r="G256" i="1" s="1"/>
  <c r="G270" i="1" s="1"/>
  <c r="H210" i="1"/>
  <c r="H256" i="1" s="1"/>
  <c r="H270" i="1" s="1"/>
  <c r="C111" i="2"/>
  <c r="C13" i="10"/>
  <c r="L197" i="1"/>
  <c r="C11" i="10"/>
  <c r="C109" i="2"/>
  <c r="B18" i="12"/>
  <c r="A22" i="12" s="1"/>
  <c r="C10" i="10"/>
  <c r="C108" i="2"/>
  <c r="D5" i="13"/>
  <c r="G630" i="1" l="1"/>
  <c r="J630" i="1" s="1"/>
  <c r="G645" i="1"/>
  <c r="J645" i="1" s="1"/>
  <c r="G192" i="1"/>
  <c r="G627" i="1" s="1"/>
  <c r="J627" i="1" s="1"/>
  <c r="J646" i="1"/>
  <c r="L544" i="1"/>
  <c r="L337" i="1"/>
  <c r="L351" i="1" s="1"/>
  <c r="G632" i="1" s="1"/>
  <c r="J632" i="1" s="1"/>
  <c r="E8" i="13"/>
  <c r="C8" i="13" s="1"/>
  <c r="D14" i="13"/>
  <c r="C14" i="13" s="1"/>
  <c r="H647" i="1"/>
  <c r="J647" i="1" s="1"/>
  <c r="D7" i="13"/>
  <c r="C7" i="13" s="1"/>
  <c r="C122" i="2"/>
  <c r="K551" i="1"/>
  <c r="C41" i="10"/>
  <c r="G625" i="1"/>
  <c r="J625" i="1" s="1"/>
  <c r="J51" i="1"/>
  <c r="H620" i="1" s="1"/>
  <c r="J620" i="1" s="1"/>
  <c r="H666" i="1"/>
  <c r="D12" i="13"/>
  <c r="C12" i="13" s="1"/>
  <c r="C120" i="2"/>
  <c r="C119" i="2"/>
  <c r="C127" i="2" s="1"/>
  <c r="C17" i="10"/>
  <c r="C15" i="10"/>
  <c r="D6" i="13"/>
  <c r="C6" i="13" s="1"/>
  <c r="L210" i="1"/>
  <c r="F659" i="1" s="1"/>
  <c r="C114" i="2"/>
  <c r="C5" i="13"/>
  <c r="E33" i="13" l="1"/>
  <c r="D35" i="13" s="1"/>
  <c r="C28" i="10"/>
  <c r="D21" i="10" s="1"/>
  <c r="D37" i="10"/>
  <c r="D35" i="10"/>
  <c r="D40" i="10"/>
  <c r="D38" i="10"/>
  <c r="D39" i="10"/>
  <c r="D36" i="10"/>
  <c r="C144" i="2"/>
  <c r="L256" i="1"/>
  <c r="L270" i="1" s="1"/>
  <c r="G631" i="1" s="1"/>
  <c r="H655" i="1" s="1"/>
  <c r="D33" i="13"/>
  <c r="D36" i="13" s="1"/>
  <c r="D17" i="10"/>
  <c r="D23" i="10"/>
  <c r="C30" i="10"/>
  <c r="D12" i="10"/>
  <c r="D11" i="10"/>
  <c r="I659" i="1"/>
  <c r="I663" i="1" s="1"/>
  <c r="F663" i="1"/>
  <c r="D10" i="10" l="1"/>
  <c r="D22" i="10"/>
  <c r="D19" i="10"/>
  <c r="D25" i="10"/>
  <c r="D24" i="10"/>
  <c r="D15" i="10"/>
  <c r="D18" i="10"/>
  <c r="D16" i="10"/>
  <c r="D13" i="10"/>
  <c r="D27" i="10"/>
  <c r="D26" i="10"/>
  <c r="D20" i="10"/>
  <c r="D41" i="10"/>
  <c r="J631" i="1"/>
  <c r="F666" i="1"/>
  <c r="F671" i="1"/>
  <c r="C4" i="10" s="1"/>
  <c r="I671" i="1"/>
  <c r="C7" i="10" s="1"/>
  <c r="I666" i="1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<sst xmlns="http://schemas.openxmlformats.org/spreadsheetml/2006/main" count="3951" uniqueCount="916">
  <si>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</si>
  <si>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</si>
  <si>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</si>
  <si>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</si>
  <si>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</si>
  <si>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</si>
  <si>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</si>
  <si>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</si>
  <si>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</si>
  <si>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</si>
  <si>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</si>
  <si>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</si>
  <si>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</si>
  <si>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</si>
  <si>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</si>
  <si>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</si>
  <si>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</si>
  <si>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</si>
  <si>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</si>
  <si>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</si>
  <si>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</si>
  <si>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</si>
  <si>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</si>
  <si>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</si>
  <si>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</si>
  <si>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</si>
  <si>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</si>
  <si>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</si>
  <si>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</si>
  <si>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</si>
  <si>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</si>
  <si>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</si>
  <si>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</si>
  <si>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</si>
  <si>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</si>
  <si>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</si>
  <si>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</si>
  <si>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</si>
  <si>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</si>
  <si>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</si>
  <si>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</si>
  <si>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</si>
  <si>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</si>
  <si>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</si>
  <si>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</si>
  <si>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</si>
  <si>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</si>
  <si>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</si>
  <si>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</si>
  <si>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</si>
  <si>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</si>
  <si>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</si>
  <si>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</si>
  <si>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</si>
  <si>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</si>
  <si>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</si>
  <si>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</si>
  <si>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</si>
  <si>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</si>
  <si>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</si>
  <si>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</si>
  <si>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</si>
  <si>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</si>
  <si>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</si>
  <si>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</si>
  <si>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</si>
  <si>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</si>
  <si>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</si>
  <si>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</si>
  <si>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</si>
  <si>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</si>
  <si>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</si>
  <si>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</si>
  <si>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</si>
  <si>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</si>
  <si>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</si>
  <si>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</si>
  <si>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</si>
  <si>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</si>
  <si>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</si>
  <si>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</si>
  <si>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</si>
  <si>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</si>
  <si>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</si>
  <si>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</si>
  <si>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</si>
  <si>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</si>
  <si>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</si>
  <si>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</si>
  <si>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</si>
  <si>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</si>
  <si>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</si>
  <si>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</si>
  <si>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</si>
  <si>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</si>
  <si>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</si>
  <si>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</si>
  <si>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</si>
  <si>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</si>
  <si>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</si>
  <si>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</si>
  <si>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</si>
  <si>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</si>
  <si>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</si>
  <si>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</si>
  <si>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</si>
  <si>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</si>
  <si>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</si>
  <si>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</si>
  <si>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</si>
  <si>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</si>
  <si>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</si>
  <si>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</si>
  <si>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</si>
  <si>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</si>
  <si>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</si>
  <si>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</si>
  <si>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</si>
  <si>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</si>
  <si>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</si>
  <si>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</si>
  <si>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</si>
  <si>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</si>
  <si>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</si>
  <si>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</si>
  <si>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</si>
  <si>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</si>
  <si>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</si>
  <si>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</si>
  <si>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</si>
  <si>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</si>
  <si>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</si>
  <si>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</si>
  <si>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</si>
  <si>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</si>
  <si>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</si>
  <si>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</si>
  <si>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</si>
  <si>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</si>
  <si>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</si>
  <si>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</si>
  <si>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</si>
  <si>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</si>
  <si>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</si>
  <si>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</si>
  <si>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</si>
  <si>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</si>
  <si>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</si>
  <si>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</si>
  <si>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</si>
  <si>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</si>
  <si>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</si>
  <si>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</si>
  <si>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</si>
  <si>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</si>
  <si>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</si>
  <si>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</si>
  <si>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</si>
  <si>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</si>
  <si>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</si>
  <si>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</si>
  <si>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</si>
  <si>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</si>
  <si>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</si>
  <si>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</si>
  <si>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</si>
  <si>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</si>
  <si>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</si>
  <si>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</si>
  <si>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</si>
  <si>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</si>
  <si>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</si>
  <si>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</si>
  <si>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</si>
  <si>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</si>
  <si>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</si>
  <si>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</si>
  <si>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</si>
  <si>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</si>
  <si>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</si>
  <si>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</si>
  <si>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</si>
  <si>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</si>
  <si>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</si>
  <si>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</si>
  <si>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</si>
  <si>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</si>
  <si>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</si>
  <si>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</si>
  <si>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</si>
  <si>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</si>
  <si>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</si>
  <si>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</si>
  <si>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</si>
  <si>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</si>
  <si>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</si>
  <si>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</si>
  <si>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</si>
  <si>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</si>
  <si>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</si>
  <si>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</si>
  <si>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</si>
  <si>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</si>
  <si>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</si>
  <si>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</si>
  <si>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</si>
  <si>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</si>
  <si>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</si>
  <si>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</si>
  <si>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</si>
  <si>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</si>
  <si>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</si>
  <si>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</si>
  <si>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</si>
  <si>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</si>
  <si>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</si>
  <si>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</si>
  <si>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</si>
  <si>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</si>
  <si>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</si>
  <si>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</si>
  <si>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</si>
  <si>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</si>
  <si>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</si>
  <si>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</si>
  <si>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</si>
  <si>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</si>
  <si>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</si>
  <si>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</si>
  <si>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</si>
  <si>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</si>
  <si>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</si>
  <si>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</si>
  <si>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</si>
  <si>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</si>
  <si>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</si>
  <si>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</si>
  <si>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</si>
  <si>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</si>
  <si>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</si>
  <si>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</si>
  <si>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</si>
  <si>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</si>
  <si>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</si>
  <si>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</si>
  <si>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</si>
  <si>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</si>
  <si>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</si>
  <si>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</si>
  <si>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</si>
  <si>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</si>
  <si>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</si>
  <si>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</si>
  <si>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</si>
  <si>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</si>
  <si>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</si>
  <si>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</si>
  <si>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</si>
  <si>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</si>
  <si>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</si>
  <si>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</si>
  <si>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</si>
  <si>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</si>
  <si>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</si>
  <si>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</si>
  <si>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</si>
  <si>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</si>
  <si>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</si>
  <si>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</si>
  <si>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</si>
  <si>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</si>
  <si>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</si>
  <si>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</si>
  <si>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</si>
  <si>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</si>
  <si>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</si>
  <si>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</si>
  <si>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</si>
  <si>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</si>
  <si>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</si>
  <si>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</si>
  <si>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</si>
  <si>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</si>
  <si>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</si>
  <si>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</si>
  <si>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</si>
  <si>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</si>
  <si>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</si>
  <si>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</si>
  <si>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</si>
  <si>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</si>
  <si>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</si>
  <si>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</si>
  <si>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</si>
  <si>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</si>
  <si>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</si>
  <si>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</si>
  <si>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</si>
  <si>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</si>
  <si>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</si>
  <si>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</si>
  <si>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</si>
  <si>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</si>
  <si>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</si>
  <si>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</si>
  <si>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</si>
  <si>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</si>
  <si>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</si>
  <si>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</si>
  <si>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</si>
  <si>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</si>
  <si>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</si>
  <si>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</si>
  <si>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</si>
  <si>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</si>
  <si>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</si>
  <si>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</si>
  <si>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</si>
  <si>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</si>
  <si>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</si>
  <si>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</si>
  <si>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</si>
  <si>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</si>
  <si>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</si>
  <si>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</si>
  <si>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</si>
  <si>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</si>
  <si>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</si>
  <si>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</si>
  <si>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</si>
  <si>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</si>
  <si>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</si>
  <si>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</si>
  <si>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</si>
  <si>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</si>
  <si>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</si>
  <si>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</si>
  <si>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</si>
  <si>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</si>
  <si>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</si>
  <si>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</si>
  <si>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</si>
  <si>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</si>
  <si>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</si>
  <si>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</si>
  <si>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</si>
  <si>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</si>
  <si>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</si>
  <si>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</si>
  <si>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</si>
  <si>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</si>
  <si>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</si>
  <si>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</si>
  <si>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</si>
  <si>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</si>
  <si>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</si>
  <si>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</si>
  <si>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</si>
  <si>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</si>
  <si>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</si>
  <si>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</si>
  <si>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</si>
  <si>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</si>
  <si>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</si>
  <si>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</si>
  <si>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</si>
  <si>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</si>
  <si>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</si>
  <si>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</si>
  <si>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</si>
  <si>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</si>
  <si>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</si>
  <si>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</si>
  <si>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</si>
  <si>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</si>
  <si>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</si>
  <si>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</si>
  <si>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</si>
  <si>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</si>
  <si>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</si>
  <si>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</si>
  <si>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</si>
  <si>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</si>
  <si>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</si>
  <si>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</si>
  <si>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</si>
  <si>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</si>
  <si>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</si>
  <si>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</si>
  <si>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</si>
  <si>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</si>
  <si>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</si>
  <si>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</si>
  <si>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</si>
  <si>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</si>
  <si>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</si>
  <si>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</si>
  <si>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</si>
  <si>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</si>
  <si>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</si>
  <si>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</si>
  <si>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</si>
  <si>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</si>
  <si>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</si>
  <si>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</si>
  <si>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</si>
  <si>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</si>
  <si>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</si>
  <si>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</si>
  <si>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</si>
  <si>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</si>
  <si>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</si>
  <si>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</si>
  <si>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</si>
  <si>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</si>
  <si>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</si>
  <si>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</si>
  <si>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</si>
  <si>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</si>
  <si>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</si>
  <si>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</si>
  <si>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</si>
  <si>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</si>
  <si>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</si>
  <si>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</si>
  <si>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</si>
  <si>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</si>
  <si>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</si>
  <si>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</si>
  <si>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</si>
  <si>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</si>
  <si>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</si>
  <si>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</si>
  <si>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</si>
  <si>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</si>
  <si>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</si>
  <si>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</si>
  <si>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</si>
  <si>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</si>
  <si>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</si>
  <si>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</si>
  <si>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</si>
  <si>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</si>
  <si>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</si>
  <si>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</si>
  <si>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</si>
  <si>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</si>
  <si>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</si>
  <si>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</si>
  <si>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</si>
  <si>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</si>
  <si>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</si>
  <si>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</si>
  <si>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</si>
  <si>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</si>
  <si>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</si>
  <si>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</si>
  <si>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</si>
  <si>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</si>
  <si>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</si>
  <si>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</si>
  <si>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</si>
  <si>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</si>
  <si>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</si>
  <si>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</si>
  <si>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</si>
  <si>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</si>
  <si>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</si>
  <si>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</si>
  <si>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</si>
  <si>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</si>
  <si>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</si>
  <si>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</si>
  <si>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</si>
  <si>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</si>
  <si>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</si>
  <si>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</si>
  <si>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</si>
  <si>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</si>
  <si>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</si>
  <si>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</si>
  <si>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</si>
  <si>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</si>
  <si>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</si>
  <si>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</si>
  <si>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</si>
  <si>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</si>
  <si>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</si>
  <si>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</si>
  <si>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</si>
  <si>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</si>
  <si>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</si>
  <si>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</si>
  <si>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</si>
  <si>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</si>
  <si>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</si>
  <si>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</si>
  <si>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</si>
  <si>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</si>
  <si>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</si>
  <si>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</si>
  <si>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</si>
  <si>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</si>
  <si>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</si>
  <si>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</si>
  <si>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</si>
  <si>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</si>
  <si>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</si>
  <si>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</si>
  <si>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</si>
  <si>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</si>
  <si>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</si>
  <si>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</si>
  <si>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</si>
  <si>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</si>
  <si>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</si>
  <si>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</si>
  <si>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</si>
  <si>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</si>
  <si>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</si>
  <si>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</si>
  <si>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</si>
  <si>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</si>
  <si>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</si>
  <si>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</si>
  <si>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</si>
  <si>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</si>
  <si>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</si>
  <si>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</si>
  <si>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</si>
  <si>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</si>
  <si>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</si>
  <si>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</si>
  <si>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</si>
  <si>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</si>
  <si>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</si>
  <si>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</si>
  <si>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</si>
  <si>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</si>
  <si>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</si>
  <si>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</si>
  <si>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</si>
  <si>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</si>
  <si>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</si>
  <si>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</si>
  <si>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</si>
  <si>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</si>
  <si>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</si>
  <si>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</si>
  <si>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</si>
  <si>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</si>
  <si>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</si>
  <si>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</si>
  <si>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</si>
  <si>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</si>
  <si>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</si>
  <si>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</si>
  <si>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</si>
  <si>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</si>
  <si>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</si>
  <si>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</si>
  <si>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</si>
  <si>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</si>
  <si>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</si>
  <si>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</si>
  <si>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</si>
  <si>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</si>
  <si>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</si>
  <si>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</si>
  <si>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</si>
  <si>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</si>
  <si>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</si>
  <si>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</si>
  <si>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</si>
  <si>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</si>
  <si>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</si>
  <si>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</si>
  <si>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</si>
  <si>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</si>
  <si>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</si>
  <si>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</si>
  <si>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</si>
  <si>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</si>
  <si>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</si>
  <si>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</si>
  <si>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</si>
  <si>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</si>
  <si>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</si>
  <si>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</si>
  <si>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</si>
  <si>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</si>
  <si>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</si>
  <si>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</si>
  <si>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</si>
  <si>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</si>
  <si>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</si>
  <si>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</si>
  <si>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</si>
  <si>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</si>
  <si>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</si>
  <si>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</si>
  <si>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</si>
  <si>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</si>
  <si>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</si>
  <si>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</si>
  <si>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</si>
  <si>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</si>
  <si>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</si>
  <si>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</si>
  <si>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</si>
  <si>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</si>
  <si>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</si>
  <si>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</si>
  <si>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</si>
  <si>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</si>
  <si>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</si>
  <si>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</si>
  <si>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</si>
  <si>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</si>
  <si>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</si>
  <si>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</si>
  <si>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</si>
  <si>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</si>
  <si>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</si>
  <si>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</si>
  <si>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</si>
  <si>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</si>
  <si>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</si>
  <si>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</si>
  <si>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</si>
  <si>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</si>
  <si>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</si>
  <si>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</si>
  <si>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</si>
  <si>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</si>
  <si>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</si>
  <si>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</si>
  <si>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</si>
  <si>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</si>
  <si>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</si>
  <si>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</si>
  <si>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</si>
  <si>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</si>
  <si>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</si>
  <si>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</si>
  <si>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</si>
  <si>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</si>
  <si>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</si>
  <si>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</si>
  <si>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</si>
  <si>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</si>
  <si>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</si>
  <si>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</si>
  <si>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</si>
  <si>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</si>
  <si>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</si>
  <si>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</si>
  <si>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</si>
  <si>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</si>
  <si>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</si>
  <si>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</si>
  <si>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</si>
  <si>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</si>
  <si>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</si>
  <si>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</si>
  <si>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</si>
  <si>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</si>
  <si>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</si>
  <si>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</si>
  <si>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</si>
  <si>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</si>
  <si>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</si>
  <si>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</si>
  <si>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</si>
  <si>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</si>
  <si>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</si>
  <si>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</si>
  <si>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</si>
  <si>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</si>
  <si>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</si>
  <si>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</si>
  <si>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</si>
  <si>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</si>
  <si>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</si>
  <si>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</si>
  <si>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</si>
  <si>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</si>
  <si>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</si>
  <si>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</si>
  <si>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</si>
  <si>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</si>
  <si>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</si>
  <si>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</si>
  <si>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</si>
  <si>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</si>
  <si>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</si>
  <si>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</si>
  <si>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</si>
  <si>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</si>
  <si>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</si>
  <si>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</si>
  <si>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</si>
  <si>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</si>
  <si>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</si>
  <si>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</si>
  <si>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</si>
  <si>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</si>
  <si>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</si>
  <si>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</si>
  <si>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</si>
  <si>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</si>
  <si>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</si>
  <si>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</si>
  <si>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</si>
  <si>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</si>
  <si>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</si>
  <si>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</si>
  <si>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</si>
  <si>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</si>
  <si>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</si>
  <si>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</si>
  <si>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</si>
  <si>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</si>
  <si>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</si>
  <si>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</si>
  <si>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</si>
  <si>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</si>
  <si>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</si>
  <si>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</si>
  <si>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</si>
  <si>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</si>
  <si>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</si>
  <si>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</si>
  <si>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</si>
  <si>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</si>
  <si>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</si>
  <si>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</si>
  <si>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</si>
  <si>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</si>
  <si>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</si>
  <si>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</si>
  <si>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</si>
  <si>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</si>
  <si>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</si>
  <si>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</si>
  <si>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</si>
  <si>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</si>
  <si>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</si>
  <si>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</si>
  <si>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</si>
  <si>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</si>
  <si>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</si>
  <si>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</si>
  <si>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</si>
  <si>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</si>
  <si>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</si>
  <si>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</si>
  <si>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</si>
  <si>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</si>
  <si>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</si>
  <si>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</si>
  <si>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</si>
  <si>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</si>
  <si>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</si>
  <si>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</si>
  <si>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</si>
  <si>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</si>
  <si>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</si>
  <si>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</si>
  <si>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</si>
  <si>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</si>
  <si>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</si>
  <si>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</si>
  <si>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</si>
  <si>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</si>
  <si>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</si>
  <si>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</si>
  <si>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</si>
  <si>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</si>
  <si>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</si>
  <si>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</si>
  <si>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</si>
  <si>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</si>
  <si>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</si>
  <si>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</si>
  <si>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</si>
  <si>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</si>
  <si>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</si>
  <si>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</si>
  <si>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</si>
  <si>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</si>
  <si>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</si>
  <si>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</si>
  <si>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</si>
  <si>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</si>
  <si>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</si>
  <si>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</si>
  <si>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</si>
  <si>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</si>
  <si>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</si>
  <si>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</si>
  <si>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</si>
  <si>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</si>
  <si>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</si>
  <si>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</si>
  <si>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</si>
  <si>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</si>
  <si>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</si>
  <si>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</si>
  <si>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</si>
  <si>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</si>
  <si>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</si>
  <si>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</si>
  <si>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</si>
  <si>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</si>
  <si>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</si>
  <si>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</si>
  <si>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</si>
  <si>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</si>
  <si>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</si>
  <si>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</si>
  <si>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</si>
  <si>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</si>
  <si>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</si>
  <si>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</si>
  <si>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</si>
  <si>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</si>
  <si>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</si>
  <si>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</si>
  <si>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</si>
  <si>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</si>
  <si>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</si>
  <si>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</si>
  <si>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</si>
  <si>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</si>
  <si>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</si>
  <si>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</si>
  <si>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</si>
  <si>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</si>
  <si>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</si>
  <si>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</si>
  <si>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</si>
  <si>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</si>
  <si>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</si>
  <si>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</si>
  <si>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</si>
  <si>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</si>
  <si>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</si>
  <si>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</si>
  <si>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</si>
  <si>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</si>
  <si>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</si>
  <si>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</si>
  <si>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</si>
  <si>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</si>
  <si>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</si>
  <si>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</si>
  <si>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</si>
  <si>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</si>
  <si>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</si>
  <si>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</si>
  <si>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</si>
  <si>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</si>
  <si>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</si>
  <si>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</si>
  <si>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</si>
  <si>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</si>
  <si>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</si>
  <si>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</si>
  <si>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</si>
  <si>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</si>
  <si>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</si>
  <si>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</si>
  <si>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</si>
  <si>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</si>
  <si>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</si>
  <si>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</si>
  <si>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</si>
  <si>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</si>
  <si>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</si>
  <si>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</si>
  <si>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</si>
  <si>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</si>
  <si>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</si>
  <si>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</si>
  <si>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</si>
  <si>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</si>
  <si>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</si>
  <si>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</si>
  <si>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</si>
  <si>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</si>
  <si>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</si>
  <si>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</si>
  <si>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</si>
  <si>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</si>
  <si>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</si>
  <si>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</si>
  <si>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</si>
  <si>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</si>
  <si>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</si>
  <si>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</si>
  <si>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</si>
  <si>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</si>
  <si>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</si>
  <si>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</si>
  <si>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</si>
  <si>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</si>
  <si>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</si>
  <si>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</si>
  <si>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 xml:space="preserve">FREMONT SCHOOL DISTRICT - SAU 83 </t>
  </si>
  <si>
    <t>08/03</t>
  </si>
  <si>
    <t>08/13</t>
  </si>
  <si>
    <t>08/04</t>
  </si>
  <si>
    <t>08/14</t>
  </si>
  <si>
    <t>04/13</t>
  </si>
  <si>
    <t>08/17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</si>
</sst>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38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zoomScaleNormal="75" workbookViewId="0">
      <pane xSplit="5" ySplit="3" topLeftCell="F448" activePane="bottomRight" state="frozen"/>
      <selection pane="topRight" activeCell="F1" sqref="F1"/>
      <selection pane="bottomLeft" activeCell="A4" sqref="A4"/>
      <selection pane="bottomRight" activeCell="F483" sqref="F48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189</v>
      </c>
      <c r="C2" s="21">
        <v>189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-58686.45-10000</f>
        <v>-68686.45</v>
      </c>
      <c r="G9" s="18">
        <v>19261.490000000002</v>
      </c>
      <c r="H9" s="18"/>
      <c r="I9" s="18"/>
      <c r="J9" s="67">
        <f>SUM(I438)</f>
        <v>10000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407790.16</v>
      </c>
      <c r="G10" s="18"/>
      <c r="H10" s="18"/>
      <c r="I10" s="18"/>
      <c r="J10" s="67">
        <f>SUM(I439)</f>
        <v>407790.16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2510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71878.72</f>
        <v>71878.720000000001</v>
      </c>
      <c r="G13" s="18">
        <v>9906.7999999999993</v>
      </c>
      <c r="H13" s="18">
        <v>37866.82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f>10480.5+326.55</f>
        <v>10807.05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4487.16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413492.42999999993</v>
      </c>
      <c r="G19" s="41">
        <f>SUM(G9:G18)</f>
        <v>44462.5</v>
      </c>
      <c r="H19" s="41">
        <f>SUM(H9:H18)</f>
        <v>37866.82</v>
      </c>
      <c r="I19" s="41">
        <f>SUM(I9:I18)</f>
        <v>0</v>
      </c>
      <c r="J19" s="41">
        <f>SUM(J9:J18)</f>
        <v>417790.16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34746.910000000003</v>
      </c>
      <c r="H22" s="18">
        <v>37866.82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81672.11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131910.69</v>
      </c>
      <c r="G24" s="18">
        <v>5228.43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213582.8</v>
      </c>
      <c r="G32" s="41">
        <f>SUM(G22:G31)</f>
        <v>39975.340000000004</v>
      </c>
      <c r="H32" s="41">
        <f>SUM(H22:H31)</f>
        <v>37866.82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4487.16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417790.16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209909.63-10000-10000</f>
        <v>189909.63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199909.63</v>
      </c>
      <c r="G50" s="41">
        <f>SUM(G35:G49)</f>
        <v>4487.16</v>
      </c>
      <c r="H50" s="41">
        <f>SUM(H35:H49)</f>
        <v>0</v>
      </c>
      <c r="I50" s="41">
        <f>SUM(I35:I49)</f>
        <v>0</v>
      </c>
      <c r="J50" s="41">
        <f>SUM(J35:J49)</f>
        <v>417790.16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413492.43</v>
      </c>
      <c r="G51" s="41">
        <f>G50+G32</f>
        <v>44462.5</v>
      </c>
      <c r="H51" s="41">
        <f>H50+H32</f>
        <v>37866.82</v>
      </c>
      <c r="I51" s="41">
        <f>I50+I32</f>
        <v>0</v>
      </c>
      <c r="J51" s="41">
        <f>J50+J32</f>
        <v>417790.16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7676176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7676176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11749+2952</f>
        <v>14701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14701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251.74</v>
      </c>
      <c r="G95" s="18"/>
      <c r="H95" s="18"/>
      <c r="I95" s="18"/>
      <c r="J95" s="18"/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103916.43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>
        <v>1725.9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8238.9500000000007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497.81+14000</f>
        <v>14497.81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22988.5</v>
      </c>
      <c r="G110" s="41">
        <f>SUM(G95:G109)</f>
        <v>105642.32999999999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7713865.5</v>
      </c>
      <c r="G111" s="41">
        <f>G59+G110</f>
        <v>105642.32999999999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1783978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846882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2630860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88485.51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42386.6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255.33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14643.84</v>
      </c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145515.94999999998</v>
      </c>
      <c r="G135" s="41">
        <f>SUM(G122:G134)</f>
        <v>255.33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2776375.95</v>
      </c>
      <c r="G139" s="41">
        <f>G120+SUM(G135:G136)</f>
        <v>255.33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60430.44+12172.35+8553.88+5462.21</f>
        <v>86618.880000000019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45855.38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128424.09+3254.81</f>
        <v>131678.9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91578.39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42533.47</v>
      </c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91578.39</v>
      </c>
      <c r="G161" s="41">
        <f>SUM(G149:G160)</f>
        <v>45855.38</v>
      </c>
      <c r="H161" s="41">
        <f>SUM(H149:H160)</f>
        <v>260831.25000000003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91578.39</v>
      </c>
      <c r="G168" s="41">
        <f>G146+G161+SUM(G162:G167)</f>
        <v>45855.38</v>
      </c>
      <c r="H168" s="41">
        <f>H146+H161+SUM(H162:H167)</f>
        <v>260831.25000000003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10000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10000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10000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10581819.84</v>
      </c>
      <c r="G192" s="47">
        <f>G111+G139+G168+G191</f>
        <v>151753.03999999998</v>
      </c>
      <c r="H192" s="47">
        <f>H111+H139+H168+H191</f>
        <v>260831.25000000003</v>
      </c>
      <c r="I192" s="47">
        <f>I111+I139+I168+I191</f>
        <v>0</v>
      </c>
      <c r="J192" s="47">
        <f>J111+J139+J191</f>
        <v>10000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1589314.26+76083.93+8260+7735</f>
        <v>1681393.19</v>
      </c>
      <c r="G196" s="18">
        <f>468475.82+14499.59+1668.24+125180.76+180621.48+13313.27+750.08</f>
        <v>804509.24</v>
      </c>
      <c r="H196" s="18"/>
      <c r="I196" s="18">
        <f>14027.26+6853.59+29495.83+12944+6069</f>
        <v>69389.679999999993</v>
      </c>
      <c r="J196" s="18">
        <v>65.25</v>
      </c>
      <c r="K196" s="18">
        <v>80</v>
      </c>
      <c r="L196" s="19">
        <f>SUM(F196:K196)</f>
        <v>2555437.36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269363.16+45287+244545.25+14092.85+16280</f>
        <v>589568.25999999989</v>
      </c>
      <c r="G197" s="18">
        <f>28925.85+8231.28+438.66+43874.3+37826.7+5593.04+422.83</f>
        <v>125312.65999999999</v>
      </c>
      <c r="H197" s="18">
        <f>27857.5+172973.33</f>
        <v>200830.83</v>
      </c>
      <c r="I197" s="18">
        <f>1560.01+364.36+479.15+175</f>
        <v>2578.52</v>
      </c>
      <c r="J197" s="18">
        <f>338.36+1616.48</f>
        <v>1954.8400000000001</v>
      </c>
      <c r="K197" s="18"/>
      <c r="L197" s="19">
        <f>SUM(F197:K197)</f>
        <v>920245.10999999987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19000+12350</f>
        <v>31350</v>
      </c>
      <c r="G199" s="18">
        <f>2398.35+13.2+2873.05</f>
        <v>5284.6</v>
      </c>
      <c r="H199" s="18">
        <f>3075+575</f>
        <v>3650</v>
      </c>
      <c r="I199" s="18">
        <v>2714.03</v>
      </c>
      <c r="J199" s="18">
        <v>1548.4</v>
      </c>
      <c r="K199" s="18"/>
      <c r="L199" s="19">
        <f>SUM(F199:K199)</f>
        <v>44547.03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109212+53635.38+44199+110975.26+24480+94225.8</f>
        <v>436727.44</v>
      </c>
      <c r="G201" s="18">
        <f>35258.43+826.51+106.92+7781.18+12340.92+926.38+69.53+17506.01+1377.36+54+3893.35+3592.68+605.24+45.43+123.65+12105.78+501.24+55.71+3384.6+373.81+28.06+32395.32+1061.11+126.9+8056.45+12540.37+1309.66+98.3+1872.68+249.69+18.74+35239.58+866.69+90.72+6610.08+8755.48+936.44+70.29</f>
        <v>211255.28999999998</v>
      </c>
      <c r="H201" s="18">
        <f>950+120+8033.92+47340.82+650+200+2281.49+1447.5+1510</f>
        <v>62533.729999999996</v>
      </c>
      <c r="I201" s="18">
        <f>1693.91+3140.19+270+215.18+320.71+42.35+113.17</f>
        <v>5795.5100000000011</v>
      </c>
      <c r="J201" s="18">
        <v>1992</v>
      </c>
      <c r="K201" s="18"/>
      <c r="L201" s="19">
        <f t="shared" ref="L201:L207" si="0">SUM(F201:K201)</f>
        <v>718303.97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750+39743+51500</f>
        <v>91993</v>
      </c>
      <c r="G202" s="18">
        <f>57.4+84.75+28029+680+8447.14+2088.74+700+471.12+43.2+3093.73+4490.98+342.19+25.68+8744.67+501.24+56.16+3919.04+4532.06+443.42+33.28</f>
        <v>66783.8</v>
      </c>
      <c r="H202" s="18">
        <f>3090+1018.65</f>
        <v>4108.6499999999996</v>
      </c>
      <c r="I202" s="18">
        <f>210.55+1949.12+624.98+577.51+929+5777.84+9430.64</f>
        <v>19499.64</v>
      </c>
      <c r="J202" s="18">
        <f>714.31+964.34+37415.46</f>
        <v>39094.11</v>
      </c>
      <c r="K202" s="18"/>
      <c r="L202" s="19">
        <f t="shared" si="0"/>
        <v>221479.19999999995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8000+150+1300+150+300+101624.5+92942.28+132464+34881.68</f>
        <v>371812.46</v>
      </c>
      <c r="G203" s="18">
        <f>734.42+26969.82+1524.2+210.96+14707.2+17276.11+2862.17+1499.18+112.53+32487+1443.61+142.56+12555.5+3069.61+14970.1+1331.3+96.36+485+2934.67</f>
        <v>135412.29999999999</v>
      </c>
      <c r="H203" s="18">
        <f>3582.98+11587.28+13567.66+1145.6+12000+297.28+768.25+360+5109.09+4305.63+21048+1207.22+762.55+1507.41+89.39+1150</f>
        <v>78488.34</v>
      </c>
      <c r="I203" s="18">
        <f>28.06+3280.47+3401.38+484.99+482.64</f>
        <v>7677.54</v>
      </c>
      <c r="J203" s="18"/>
      <c r="K203" s="18">
        <f>3683.83+1147.5+1734.37+2895+670+8285.73</f>
        <v>18416.43</v>
      </c>
      <c r="L203" s="19">
        <f t="shared" si="0"/>
        <v>611807.07000000007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146390+65356</f>
        <v>211746</v>
      </c>
      <c r="G204" s="18">
        <f>54442.09+1827.25+158.76+15697.89+5665.88+16541.98+1779.38+134.08+2648+225</f>
        <v>99120.31</v>
      </c>
      <c r="H204" s="18">
        <f>24413.58+4500+7526.27+5349.37+1626.25</f>
        <v>43415.470000000008</v>
      </c>
      <c r="I204" s="18">
        <v>10816.99</v>
      </c>
      <c r="J204" s="18">
        <f>128</f>
        <v>128</v>
      </c>
      <c r="K204" s="18">
        <f>1440+1445.93</f>
        <v>2885.9300000000003</v>
      </c>
      <c r="L204" s="19">
        <f t="shared" si="0"/>
        <v>368112.7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122283.07</f>
        <v>122283.07</v>
      </c>
      <c r="G206" s="18">
        <f>34491.86+1443.51+59.4+9106.45+10986.73+1034.41+77.64</f>
        <v>57200</v>
      </c>
      <c r="H206" s="18">
        <f>882+1650+5327.6+18644.13+30001.78+1782+1463.85+852.85+521.25+3032.9+19991</f>
        <v>84149.36</v>
      </c>
      <c r="I206" s="18">
        <f>16728.86+1100+1667.93+45428.61+51649.47+232.03</f>
        <v>116806.9</v>
      </c>
      <c r="J206" s="18">
        <f>28085+1033.69+33692.88</f>
        <v>62811.569999999992</v>
      </c>
      <c r="K206" s="18"/>
      <c r="L206" s="19">
        <f t="shared" si="0"/>
        <v>443250.89999999997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247320+69524.21+3138+4178+1433.65</f>
        <v>325593.86000000004</v>
      </c>
      <c r="I207" s="18"/>
      <c r="J207" s="18"/>
      <c r="K207" s="18"/>
      <c r="L207" s="19">
        <f t="shared" si="0"/>
        <v>325593.86000000004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3536873.4199999995</v>
      </c>
      <c r="G210" s="41">
        <f t="shared" si="1"/>
        <v>1504878.2000000002</v>
      </c>
      <c r="H210" s="41">
        <f t="shared" si="1"/>
        <v>802770.24000000011</v>
      </c>
      <c r="I210" s="41">
        <f t="shared" si="1"/>
        <v>235278.81</v>
      </c>
      <c r="J210" s="41">
        <f t="shared" si="1"/>
        <v>107594.16999999998</v>
      </c>
      <c r="K210" s="41">
        <f t="shared" si="1"/>
        <v>21382.36</v>
      </c>
      <c r="L210" s="41">
        <f t="shared" si="1"/>
        <v>6208777.2000000011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3370213.72</v>
      </c>
      <c r="I232" s="18"/>
      <c r="J232" s="18"/>
      <c r="K232" s="18"/>
      <c r="L232" s="19">
        <f>SUM(F232:K232)</f>
        <v>3370213.72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388202.71</v>
      </c>
      <c r="I233" s="18"/>
      <c r="J233" s="18"/>
      <c r="K233" s="18"/>
      <c r="L233" s="19">
        <f>SUM(F233:K233)</f>
        <v>388202.71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f>2038.85+2525+550</f>
        <v>5113.8500000000004</v>
      </c>
      <c r="I237" s="18"/>
      <c r="J237" s="18"/>
      <c r="K237" s="18"/>
      <c r="L237" s="19">
        <f t="shared" ref="L237:L243" si="4">SUM(F237:K237)</f>
        <v>5113.8500000000004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82440+110485.73</f>
        <v>192925.72999999998</v>
      </c>
      <c r="I243" s="18"/>
      <c r="J243" s="18"/>
      <c r="K243" s="18"/>
      <c r="L243" s="19">
        <f t="shared" si="4"/>
        <v>192925.72999999998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3956456.0100000002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3956456.0100000002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3536873.4199999995</v>
      </c>
      <c r="G256" s="41">
        <f t="shared" si="8"/>
        <v>1504878.2000000002</v>
      </c>
      <c r="H256" s="41">
        <f t="shared" si="8"/>
        <v>4759226.25</v>
      </c>
      <c r="I256" s="41">
        <f t="shared" si="8"/>
        <v>235278.81</v>
      </c>
      <c r="J256" s="41">
        <f t="shared" si="8"/>
        <v>107594.16999999998</v>
      </c>
      <c r="K256" s="41">
        <f t="shared" si="8"/>
        <v>21382.36</v>
      </c>
      <c r="L256" s="41">
        <f t="shared" si="8"/>
        <v>10165233.210000001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270000</v>
      </c>
      <c r="L259" s="19">
        <f>SUM(F259:K259)</f>
        <v>270000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31000</v>
      </c>
      <c r="L260" s="19">
        <f>SUM(F260:K260)</f>
        <v>31000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10000</v>
      </c>
      <c r="L265" s="19">
        <f t="shared" si="9"/>
        <v>10000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311000</v>
      </c>
      <c r="L269" s="41">
        <f t="shared" si="9"/>
        <v>311000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3536873.4199999995</v>
      </c>
      <c r="G270" s="42">
        <f t="shared" si="11"/>
        <v>1504878.2000000002</v>
      </c>
      <c r="H270" s="42">
        <f t="shared" si="11"/>
        <v>4759226.25</v>
      </c>
      <c r="I270" s="42">
        <f t="shared" si="11"/>
        <v>235278.81</v>
      </c>
      <c r="J270" s="42">
        <f t="shared" si="11"/>
        <v>107594.16999999998</v>
      </c>
      <c r="K270" s="42">
        <f t="shared" si="11"/>
        <v>332382.36</v>
      </c>
      <c r="L270" s="42">
        <f t="shared" si="11"/>
        <v>10476233.210000001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91313.7</v>
      </c>
      <c r="G275" s="18">
        <f>5111.83+2688.68+5970.58</f>
        <v>13771.09</v>
      </c>
      <c r="H275" s="18">
        <v>3650.58</v>
      </c>
      <c r="I275" s="18">
        <f>1125.25+3100</f>
        <v>4225.25</v>
      </c>
      <c r="J275" s="18"/>
      <c r="K275" s="18"/>
      <c r="L275" s="19">
        <f>SUM(F275:K275)</f>
        <v>112960.62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63818.82</v>
      </c>
      <c r="G276" s="18">
        <f>18667.01+275.34+270.7+35.28+28.98+4172.28+2424.67+7124.43+670.48+319.28+16508.46</f>
        <v>50496.909999999996</v>
      </c>
      <c r="H276" s="18">
        <f>9757.54+3983.98</f>
        <v>13741.52</v>
      </c>
      <c r="I276" s="18">
        <f>1455.39+530.46+130.8</f>
        <v>2116.65</v>
      </c>
      <c r="J276" s="18"/>
      <c r="K276" s="18"/>
      <c r="L276" s="19">
        <f>SUM(F276:K276)</f>
        <v>130173.9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>
        <v>500</v>
      </c>
      <c r="L280" s="19">
        <f t="shared" ref="L280:L286" si="12">SUM(F280:K280)</f>
        <v>500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>
        <f>3645+1379</f>
        <v>5024</v>
      </c>
      <c r="H281" s="18">
        <v>989.45</v>
      </c>
      <c r="I281" s="18">
        <f>3175.28+6453</f>
        <v>9628.2800000000007</v>
      </c>
      <c r="J281" s="18"/>
      <c r="K281" s="18"/>
      <c r="L281" s="19">
        <f t="shared" si="12"/>
        <v>15641.73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1505</v>
      </c>
      <c r="I286" s="18"/>
      <c r="J286" s="18"/>
      <c r="K286" s="18"/>
      <c r="L286" s="19">
        <f t="shared" si="12"/>
        <v>1505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>
        <v>50</v>
      </c>
      <c r="L287" s="19">
        <f>SUM(F287:K287)</f>
        <v>50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155132.51999999999</v>
      </c>
      <c r="G289" s="42">
        <f t="shared" si="13"/>
        <v>69292</v>
      </c>
      <c r="H289" s="42">
        <f t="shared" si="13"/>
        <v>19886.55</v>
      </c>
      <c r="I289" s="42">
        <f t="shared" si="13"/>
        <v>15970.18</v>
      </c>
      <c r="J289" s="42">
        <f t="shared" si="13"/>
        <v>0</v>
      </c>
      <c r="K289" s="42">
        <f t="shared" si="13"/>
        <v>550</v>
      </c>
      <c r="L289" s="41">
        <f t="shared" si="13"/>
        <v>260831.25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155132.51999999999</v>
      </c>
      <c r="G337" s="41">
        <f t="shared" si="20"/>
        <v>69292</v>
      </c>
      <c r="H337" s="41">
        <f t="shared" si="20"/>
        <v>19886.55</v>
      </c>
      <c r="I337" s="41">
        <f t="shared" si="20"/>
        <v>15970.18</v>
      </c>
      <c r="J337" s="41">
        <f t="shared" si="20"/>
        <v>0</v>
      </c>
      <c r="K337" s="41">
        <f t="shared" si="20"/>
        <v>550</v>
      </c>
      <c r="L337" s="41">
        <f t="shared" si="20"/>
        <v>260831.25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155132.51999999999</v>
      </c>
      <c r="G351" s="41">
        <f>G337</f>
        <v>69292</v>
      </c>
      <c r="H351" s="41">
        <f>H337</f>
        <v>19886.55</v>
      </c>
      <c r="I351" s="41">
        <f>I337</f>
        <v>15970.18</v>
      </c>
      <c r="J351" s="41">
        <f>J337</f>
        <v>0</v>
      </c>
      <c r="K351" s="47">
        <f>K337+K350</f>
        <v>550</v>
      </c>
      <c r="L351" s="41">
        <f>L337+L350</f>
        <v>260831.25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152321</v>
      </c>
      <c r="I357" s="18">
        <v>1000</v>
      </c>
      <c r="J357" s="18"/>
      <c r="K357" s="18"/>
      <c r="L357" s="13">
        <f>SUM(F357:K357)</f>
        <v>153321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152321</v>
      </c>
      <c r="I361" s="47">
        <f t="shared" si="22"/>
        <v>1000</v>
      </c>
      <c r="J361" s="47">
        <f t="shared" si="22"/>
        <v>0</v>
      </c>
      <c r="K361" s="47">
        <f t="shared" si="22"/>
        <v>0</v>
      </c>
      <c r="L361" s="47">
        <f t="shared" si="22"/>
        <v>153321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1000</v>
      </c>
      <c r="G367" s="63"/>
      <c r="H367" s="63"/>
      <c r="I367" s="56">
        <f>SUM(F367:H367)</f>
        <v>1000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1000</v>
      </c>
      <c r="G368" s="47">
        <f>SUM(G366:G367)</f>
        <v>0</v>
      </c>
      <c r="H368" s="47">
        <f>SUM(H366:H367)</f>
        <v>0</v>
      </c>
      <c r="I368" s="47">
        <f>SUM(I366:I367)</f>
        <v>1000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10000</v>
      </c>
      <c r="H395" s="18"/>
      <c r="I395" s="18"/>
      <c r="J395" s="24" t="s">
        <v>289</v>
      </c>
      <c r="K395" s="24" t="s">
        <v>289</v>
      </c>
      <c r="L395" s="56">
        <f t="shared" si="26"/>
        <v>10000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10000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10000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10000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10000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10000</v>
      </c>
      <c r="H438" s="18"/>
      <c r="I438" s="56">
        <f t="shared" ref="I438:I444" si="33">SUM(F438:H438)</f>
        <v>10000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407790.16</v>
      </c>
      <c r="H439" s="18"/>
      <c r="I439" s="56">
        <f t="shared" si="33"/>
        <v>407790.16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417790.16</v>
      </c>
      <c r="H445" s="13">
        <f>SUM(H438:H444)</f>
        <v>0</v>
      </c>
      <c r="I445" s="13">
        <f>SUM(I438:I444)</f>
        <v>417790.16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 t="s">
        <v>287</v>
      </c>
      <c r="G458" s="18">
        <v>417790.16</v>
      </c>
      <c r="H458" s="18"/>
      <c r="I458" s="56">
        <f t="shared" si="34"/>
        <v>417790.16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417790.16</v>
      </c>
      <c r="H459" s="83">
        <f>SUM(H453:H458)</f>
        <v>0</v>
      </c>
      <c r="I459" s="83">
        <f>SUM(I453:I458)</f>
        <v>417790.16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417790.16</v>
      </c>
      <c r="H460" s="42">
        <f>H451+H459</f>
        <v>0</v>
      </c>
      <c r="I460" s="42">
        <f>I451+I459</f>
        <v>417790.16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94323</v>
      </c>
      <c r="G464" s="18">
        <v>4487.16</v>
      </c>
      <c r="H464" s="18"/>
      <c r="I464" s="18"/>
      <c r="J464" s="18">
        <v>407790.16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10581819.84</v>
      </c>
      <c r="G467" s="18">
        <v>151753.04</v>
      </c>
      <c r="H467" s="18">
        <v>260831.25</v>
      </c>
      <c r="I467" s="18"/>
      <c r="J467" s="18">
        <v>10000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>
        <v>1567.96</v>
      </c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10581819.84</v>
      </c>
      <c r="G469" s="53">
        <f>SUM(G467:G468)</f>
        <v>153321</v>
      </c>
      <c r="H469" s="53">
        <f>SUM(H467:H468)</f>
        <v>260831.25</v>
      </c>
      <c r="I469" s="53">
        <f>SUM(I467:I468)</f>
        <v>0</v>
      </c>
      <c r="J469" s="53">
        <f>SUM(J467:J468)</f>
        <v>10000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10466233.21+10000</f>
        <v>10476233.210000001</v>
      </c>
      <c r="G471" s="18">
        <v>153321</v>
      </c>
      <c r="H471" s="18">
        <v>260831.25</v>
      </c>
      <c r="I471" s="18"/>
      <c r="J471" s="18"/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10476233.210000001</v>
      </c>
      <c r="G473" s="53">
        <f>SUM(G471:G472)</f>
        <v>153321</v>
      </c>
      <c r="H473" s="53">
        <f>SUM(H471:H472)</f>
        <v>260831.25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199909.62999999896</v>
      </c>
      <c r="G475" s="53">
        <f>(G464+G469)- G473</f>
        <v>4487.1600000000035</v>
      </c>
      <c r="H475" s="53">
        <f>(H464+H469)- H473</f>
        <v>0</v>
      </c>
      <c r="I475" s="53">
        <f>(I464+I469)- I473</f>
        <v>0</v>
      </c>
      <c r="J475" s="53">
        <f>(J464+J469)- J473</f>
        <v>417790.16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>
        <v>10</v>
      </c>
      <c r="H489" s="154">
        <v>5</v>
      </c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912</v>
      </c>
      <c r="H490" s="272" t="s">
        <v>914</v>
      </c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 t="s">
        <v>913</v>
      </c>
      <c r="H491" s="272" t="s">
        <v>915</v>
      </c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450000</v>
      </c>
      <c r="G492" s="18">
        <v>2239800</v>
      </c>
      <c r="H492" s="18">
        <v>67291.399999999994</v>
      </c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4.76</v>
      </c>
      <c r="G493" s="18">
        <v>3.63</v>
      </c>
      <c r="H493" s="18">
        <v>2.68</v>
      </c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90000</v>
      </c>
      <c r="G494" s="18">
        <v>665000</v>
      </c>
      <c r="H494" s="18">
        <v>67291.399999999994</v>
      </c>
      <c r="I494" s="18"/>
      <c r="J494" s="18"/>
      <c r="K494" s="53">
        <f>SUM(F494:J494)</f>
        <v>822291.4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>
        <v>0</v>
      </c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45000</v>
      </c>
      <c r="G496" s="18">
        <v>220000</v>
      </c>
      <c r="H496" s="18">
        <v>0</v>
      </c>
      <c r="I496" s="18"/>
      <c r="J496" s="18"/>
      <c r="K496" s="53">
        <f t="shared" si="35"/>
        <v>265000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45000</v>
      </c>
      <c r="G497" s="204">
        <v>440000</v>
      </c>
      <c r="H497" s="204">
        <v>67291.399999999994</v>
      </c>
      <c r="I497" s="204"/>
      <c r="J497" s="204"/>
      <c r="K497" s="205">
        <f t="shared" si="35"/>
        <v>552291.4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1125</v>
      </c>
      <c r="G498" s="18">
        <v>5500</v>
      </c>
      <c r="H498" s="18">
        <v>4240.6499999999996</v>
      </c>
      <c r="I498" s="18"/>
      <c r="J498" s="18"/>
      <c r="K498" s="53">
        <f t="shared" si="35"/>
        <v>10865.65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46125</v>
      </c>
      <c r="G499" s="42">
        <f>SUM(G497:G498)</f>
        <v>445500</v>
      </c>
      <c r="H499" s="42">
        <f>SUM(H497:H498)</f>
        <v>71532.049999999988</v>
      </c>
      <c r="I499" s="42">
        <f>SUM(I497:I498)</f>
        <v>0</v>
      </c>
      <c r="J499" s="42">
        <f>SUM(J497:J498)</f>
        <v>0</v>
      </c>
      <c r="K499" s="42">
        <f t="shared" si="35"/>
        <v>563157.05000000005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45000</v>
      </c>
      <c r="G500" s="204">
        <v>220000</v>
      </c>
      <c r="H500" s="204">
        <v>13703.63</v>
      </c>
      <c r="I500" s="204"/>
      <c r="J500" s="204"/>
      <c r="K500" s="205">
        <f t="shared" si="35"/>
        <v>278703.63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1125</v>
      </c>
      <c r="G501" s="18">
        <v>16500</v>
      </c>
      <c r="H501" s="18">
        <v>602.78</v>
      </c>
      <c r="I501" s="18"/>
      <c r="J501" s="18"/>
      <c r="K501" s="53">
        <f t="shared" si="35"/>
        <v>18227.78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46125</v>
      </c>
      <c r="G502" s="42">
        <f>SUM(G500:G501)</f>
        <v>236500</v>
      </c>
      <c r="H502" s="42">
        <f>SUM(H500:H501)</f>
        <v>14306.41</v>
      </c>
      <c r="I502" s="42">
        <f>SUM(I500:I501)</f>
        <v>0</v>
      </c>
      <c r="J502" s="42">
        <f>SUM(J500:J501)</f>
        <v>0</v>
      </c>
      <c r="K502" s="42">
        <f t="shared" si="35"/>
        <v>296931.40999999997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269363.16+45287+244545.25+14092.85+16280+63818.82</f>
        <v>653387.07999999984</v>
      </c>
      <c r="G520" s="18">
        <f>28925.85+8231.28+438.66+43874.3+37826.7+5593.04+422.83+18667.01+546.04+64.26+6596.95+7124.43+670.48+319.28+16508.46</f>
        <v>175809.57</v>
      </c>
      <c r="H520" s="18">
        <f>27857.5+172973.33+9757.54+3983.98</f>
        <v>214572.35</v>
      </c>
      <c r="I520" s="18">
        <f>1560.01+364.36+479.15+1985.85+130.8</f>
        <v>4520.17</v>
      </c>
      <c r="J520" s="18">
        <f>338.36+1616.48</f>
        <v>1954.8400000000001</v>
      </c>
      <c r="K520" s="18"/>
      <c r="L520" s="88">
        <f>SUM(F520:K520)</f>
        <v>1050244.01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f>232161.04+138473.17+17568.5</f>
        <v>388202.71</v>
      </c>
      <c r="I522" s="18"/>
      <c r="J522" s="18"/>
      <c r="K522" s="18"/>
      <c r="L522" s="88">
        <f>SUM(F522:K522)</f>
        <v>388202.71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653387.07999999984</v>
      </c>
      <c r="G523" s="108">
        <f t="shared" ref="G523:L523" si="36">SUM(G520:G522)</f>
        <v>175809.57</v>
      </c>
      <c r="H523" s="108">
        <f t="shared" si="36"/>
        <v>602775.06000000006</v>
      </c>
      <c r="I523" s="108">
        <f t="shared" si="36"/>
        <v>4520.17</v>
      </c>
      <c r="J523" s="108">
        <f t="shared" si="36"/>
        <v>1954.8400000000001</v>
      </c>
      <c r="K523" s="108">
        <f t="shared" si="36"/>
        <v>0</v>
      </c>
      <c r="L523" s="89">
        <f t="shared" si="36"/>
        <v>1438446.72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44199+110975.26+24480+94225.8</f>
        <v>273880.06</v>
      </c>
      <c r="G525" s="18">
        <f>12105.78+32395.32+35239.58+501.24+1061.11+866.69+55.71+126.9+90.72+3384.6+8056.45+1872.68+6610.08+12540.37+8755.48+373.81+1309.66+249.69+936.44+28.06+98.3+18.74+70.29</f>
        <v>126747.7</v>
      </c>
      <c r="H525" s="18">
        <f>120+47340.82+2281.49+1510+8033.92+200+1447.5+650</f>
        <v>61583.729999999996</v>
      </c>
      <c r="I525" s="18">
        <f>215.18+320.71+113.17+42.35</f>
        <v>691.41</v>
      </c>
      <c r="J525" s="18"/>
      <c r="K525" s="18"/>
      <c r="L525" s="88">
        <f>SUM(F525:K525)</f>
        <v>462902.89999999997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f>2038.85+2525+550</f>
        <v>5113.8500000000004</v>
      </c>
      <c r="I527" s="18"/>
      <c r="J527" s="18"/>
      <c r="K527" s="18"/>
      <c r="L527" s="88">
        <f>SUM(F527:K527)</f>
        <v>5113.8500000000004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273880.06</v>
      </c>
      <c r="G528" s="89">
        <f t="shared" ref="G528:L528" si="37">SUM(G525:G527)</f>
        <v>126747.7</v>
      </c>
      <c r="H528" s="89">
        <f t="shared" si="37"/>
        <v>66697.58</v>
      </c>
      <c r="I528" s="89">
        <f t="shared" si="37"/>
        <v>691.41</v>
      </c>
      <c r="J528" s="89">
        <f t="shared" si="37"/>
        <v>0</v>
      </c>
      <c r="K528" s="89">
        <f t="shared" si="37"/>
        <v>0</v>
      </c>
      <c r="L528" s="89">
        <f t="shared" si="37"/>
        <v>468016.74999999994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132464+34881.68</f>
        <v>167345.68</v>
      </c>
      <c r="G530" s="18">
        <f>32487+1443.61+142.56+12555.5+3069.61+14970.1+1331.3+96.36+485+2934.67</f>
        <v>69515.709999999992</v>
      </c>
      <c r="H530" s="18">
        <f>89.39+1150</f>
        <v>1239.3900000000001</v>
      </c>
      <c r="I530" s="18">
        <f>482.64</f>
        <v>482.64</v>
      </c>
      <c r="J530" s="18"/>
      <c r="K530" s="18">
        <f>670+8285.73</f>
        <v>8955.73</v>
      </c>
      <c r="L530" s="88">
        <f>SUM(F530:K530)</f>
        <v>247539.15000000002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167345.68</v>
      </c>
      <c r="G533" s="89">
        <f t="shared" ref="G533:L533" si="38">SUM(G530:G532)</f>
        <v>69515.709999999992</v>
      </c>
      <c r="H533" s="89">
        <f t="shared" si="38"/>
        <v>1239.3900000000001</v>
      </c>
      <c r="I533" s="89">
        <f t="shared" si="38"/>
        <v>482.64</v>
      </c>
      <c r="J533" s="89">
        <f t="shared" si="38"/>
        <v>0</v>
      </c>
      <c r="K533" s="89">
        <f t="shared" si="38"/>
        <v>8955.73</v>
      </c>
      <c r="L533" s="89">
        <f t="shared" si="38"/>
        <v>247539.15000000002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13567.66</v>
      </c>
      <c r="I535" s="18"/>
      <c r="J535" s="18"/>
      <c r="K535" s="18"/>
      <c r="L535" s="88">
        <f>SUM(F535:K535)</f>
        <v>13567.66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13567.66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13567.66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1505+69524.21</f>
        <v>71029.210000000006</v>
      </c>
      <c r="I540" s="18"/>
      <c r="J540" s="18"/>
      <c r="K540" s="18"/>
      <c r="L540" s="88">
        <f>SUM(F540:K540)</f>
        <v>71029.210000000006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110485.73</v>
      </c>
      <c r="I542" s="18"/>
      <c r="J542" s="18"/>
      <c r="K542" s="18"/>
      <c r="L542" s="88">
        <f>SUM(F542:K542)</f>
        <v>110485.73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181514.94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181514.94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1094612.8199999998</v>
      </c>
      <c r="G544" s="89">
        <f t="shared" ref="G544:L544" si="41">G523+G528+G533+G538+G543</f>
        <v>372072.98</v>
      </c>
      <c r="H544" s="89">
        <f t="shared" si="41"/>
        <v>865794.63000000012</v>
      </c>
      <c r="I544" s="89">
        <f t="shared" si="41"/>
        <v>5694.22</v>
      </c>
      <c r="J544" s="89">
        <f t="shared" si="41"/>
        <v>1954.8400000000001</v>
      </c>
      <c r="K544" s="89">
        <f t="shared" si="41"/>
        <v>8955.73</v>
      </c>
      <c r="L544" s="89">
        <f t="shared" si="41"/>
        <v>2349085.2200000002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1050244.01</v>
      </c>
      <c r="G548" s="87">
        <f>L525</f>
        <v>462902.89999999997</v>
      </c>
      <c r="H548" s="87">
        <f>L530</f>
        <v>247539.15000000002</v>
      </c>
      <c r="I548" s="87">
        <f>L535</f>
        <v>13567.66</v>
      </c>
      <c r="J548" s="87">
        <f>L540</f>
        <v>71029.210000000006</v>
      </c>
      <c r="K548" s="87">
        <f>SUM(F548:J548)</f>
        <v>1845282.93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388202.71</v>
      </c>
      <c r="G550" s="87">
        <f>L527</f>
        <v>5113.8500000000004</v>
      </c>
      <c r="H550" s="87">
        <f>L532</f>
        <v>0</v>
      </c>
      <c r="I550" s="87">
        <f>L537</f>
        <v>0</v>
      </c>
      <c r="J550" s="87">
        <f>L542</f>
        <v>110485.73</v>
      </c>
      <c r="K550" s="87">
        <f>SUM(F550:J550)</f>
        <v>503802.29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1438446.72</v>
      </c>
      <c r="G551" s="89">
        <f t="shared" si="42"/>
        <v>468016.74999999994</v>
      </c>
      <c r="H551" s="89">
        <f t="shared" si="42"/>
        <v>247539.15000000002</v>
      </c>
      <c r="I551" s="89">
        <f t="shared" si="42"/>
        <v>13567.66</v>
      </c>
      <c r="J551" s="89">
        <f t="shared" si="42"/>
        <v>181514.94</v>
      </c>
      <c r="K551" s="89">
        <f t="shared" si="42"/>
        <v>2349085.2199999997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3327647.93</v>
      </c>
      <c r="I574" s="87">
        <f>SUM(F574:H574)</f>
        <v>3327647.93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232161.04</v>
      </c>
      <c r="I578" s="87">
        <f t="shared" si="47"/>
        <v>232161.04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10015.790000000001</v>
      </c>
      <c r="I580" s="87">
        <f t="shared" si="47"/>
        <v>10015.790000000001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172973.33</v>
      </c>
      <c r="G581" s="18"/>
      <c r="H581" s="18">
        <v>138473.17000000001</v>
      </c>
      <c r="I581" s="87">
        <f t="shared" si="47"/>
        <v>311446.5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247320</v>
      </c>
      <c r="I590" s="18"/>
      <c r="J590" s="18">
        <v>82440</v>
      </c>
      <c r="K590" s="104">
        <f t="shared" ref="K590:K596" si="48">SUM(H590:J590)</f>
        <v>329760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69524.210000000006</v>
      </c>
      <c r="I591" s="18"/>
      <c r="J591" s="18">
        <v>110485.73</v>
      </c>
      <c r="K591" s="104">
        <f t="shared" si="48"/>
        <v>180009.94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3138</v>
      </c>
      <c r="I593" s="18"/>
      <c r="J593" s="18"/>
      <c r="K593" s="104">
        <f t="shared" si="48"/>
        <v>3138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4178</v>
      </c>
      <c r="I594" s="18"/>
      <c r="J594" s="18"/>
      <c r="K594" s="104">
        <f t="shared" si="48"/>
        <v>4178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1433.65</v>
      </c>
      <c r="I596" s="18"/>
      <c r="J596" s="18"/>
      <c r="K596" s="104">
        <f t="shared" si="48"/>
        <v>1433.65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325593.86000000004</v>
      </c>
      <c r="I597" s="108">
        <f>SUM(I590:I596)</f>
        <v>0</v>
      </c>
      <c r="J597" s="108">
        <f>SUM(J590:J596)</f>
        <v>192925.72999999998</v>
      </c>
      <c r="K597" s="108">
        <f>SUM(K590:K596)</f>
        <v>518519.59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107594.17</v>
      </c>
      <c r="I603" s="18"/>
      <c r="J603" s="18"/>
      <c r="K603" s="104">
        <f>SUM(H603:J603)</f>
        <v>107594.17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107594.17</v>
      </c>
      <c r="I604" s="108">
        <f>SUM(I601:I603)</f>
        <v>0</v>
      </c>
      <c r="J604" s="108">
        <f>SUM(J601:J603)</f>
        <v>0</v>
      </c>
      <c r="K604" s="108">
        <f>SUM(K601:K603)</f>
        <v>107594.17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413492.42999999993</v>
      </c>
      <c r="H616" s="109">
        <f>SUM(F51)</f>
        <v>413492.43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44462.5</v>
      </c>
      <c r="H617" s="109">
        <f>SUM(G51)</f>
        <v>44462.5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37866.82</v>
      </c>
      <c r="H618" s="109">
        <f>SUM(H51)</f>
        <v>37866.82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417790.16</v>
      </c>
      <c r="H620" s="109">
        <f>SUM(J51)</f>
        <v>417790.16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199909.63</v>
      </c>
      <c r="H621" s="109">
        <f>F475</f>
        <v>199909.62999999896</v>
      </c>
      <c r="I621" s="121" t="s">
        <v>101</v>
      </c>
      <c r="J621" s="109">
        <f t="shared" ref="J621:J654" si="50">G621-H621</f>
        <v>1.0477378964424133E-9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4487.16</v>
      </c>
      <c r="H622" s="109">
        <f>G475</f>
        <v>4487.1600000000035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417790.16</v>
      </c>
      <c r="H625" s="109">
        <f>J475</f>
        <v>417790.16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10581819.84</v>
      </c>
      <c r="H626" s="104">
        <f>SUM(F467)</f>
        <v>10581819.84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151753.03999999998</v>
      </c>
      <c r="H627" s="104">
        <f>SUM(G467)</f>
        <v>151753.04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260831.25000000003</v>
      </c>
      <c r="H628" s="104">
        <f>SUM(H467)</f>
        <v>260831.25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10000</v>
      </c>
      <c r="H630" s="104">
        <f>SUM(J467)</f>
        <v>10000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10476233.210000001</v>
      </c>
      <c r="H631" s="104">
        <f>SUM(F471)</f>
        <v>10476233.210000001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260831.25</v>
      </c>
      <c r="H632" s="104">
        <f>SUM(H471)</f>
        <v>260831.25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1000</v>
      </c>
      <c r="H633" s="104">
        <f>I368</f>
        <v>1000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153321</v>
      </c>
      <c r="H634" s="104">
        <f>SUM(G471)</f>
        <v>153321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10000</v>
      </c>
      <c r="H636" s="164">
        <f>SUM(J467)</f>
        <v>10000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417790.16</v>
      </c>
      <c r="H639" s="104">
        <f>SUM(G460)</f>
        <v>417790.16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417790.16</v>
      </c>
      <c r="H641" s="104">
        <f>SUM(I460)</f>
        <v>417790.16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10000</v>
      </c>
      <c r="H644" s="104">
        <f>G407</f>
        <v>10000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10000</v>
      </c>
      <c r="H645" s="104">
        <f>L407</f>
        <v>10000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518519.59</v>
      </c>
      <c r="H646" s="104">
        <f>L207+L225+L243</f>
        <v>518519.59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107594.17</v>
      </c>
      <c r="H647" s="104">
        <f>(J256+J337)-(J254+J335)</f>
        <v>107594.16999999998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325593.86000000004</v>
      </c>
      <c r="H648" s="104">
        <f>H597</f>
        <v>325593.86000000004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192925.72999999998</v>
      </c>
      <c r="H650" s="104">
        <f>J597</f>
        <v>192925.72999999998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10000</v>
      </c>
      <c r="H654" s="104">
        <f>K265+K346</f>
        <v>10000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6622929.4500000011</v>
      </c>
      <c r="G659" s="19">
        <f>(L228+L308+L358)</f>
        <v>0</v>
      </c>
      <c r="H659" s="19">
        <f>(L246+L327+L359)</f>
        <v>3956456.0100000002</v>
      </c>
      <c r="I659" s="19">
        <f>SUM(F659:H659)</f>
        <v>10579385.460000001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105642.32999999999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105642.32999999999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327098.86000000004</v>
      </c>
      <c r="G661" s="19">
        <f>(L225+L305)-(J225+J305)</f>
        <v>0</v>
      </c>
      <c r="H661" s="19">
        <f>(L243+L324)-(J243+J324)</f>
        <v>192925.72999999998</v>
      </c>
      <c r="I661" s="19">
        <f>SUM(F661:H661)</f>
        <v>520024.59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280567.5</v>
      </c>
      <c r="G662" s="199">
        <f>SUM(G574:G586)+SUM(I601:I603)+L611</f>
        <v>0</v>
      </c>
      <c r="H662" s="199">
        <f>SUM(H574:H586)+SUM(J601:J603)+L612</f>
        <v>3708297.93</v>
      </c>
      <c r="I662" s="19">
        <f>SUM(F662:H662)</f>
        <v>3988865.43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5909620.7600000007</v>
      </c>
      <c r="G663" s="19">
        <f>G659-SUM(G660:G662)</f>
        <v>0</v>
      </c>
      <c r="H663" s="19">
        <f>H659-SUM(H660:H662)</f>
        <v>55232.350000000093</v>
      </c>
      <c r="I663" s="19">
        <f>I659-SUM(I660:I662)</f>
        <v>5964853.1100000003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430.51</v>
      </c>
      <c r="G664" s="248"/>
      <c r="H664" s="248"/>
      <c r="I664" s="19">
        <f>SUM(F664:H664)</f>
        <v>430.51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13727.02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13855.32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-55232.35</v>
      </c>
      <c r="I668" s="19">
        <f>SUM(F668:H668)</f>
        <v>-55232.35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13727.02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13727.02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2" workbookViewId="0">
      <selection activeCell="C49" sqref="C4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FREMONT SCHOOL DISTRICT - SAU 83 </v>
      </c>
      <c r="C1" s="238" t="s">
        <v>839</v>
      </c>
    </row>
    <row r="2" spans="1:3" x14ac:dyDescent="0.2">
      <c r="A2" s="233"/>
      <c r="B2" s="232"/>
    </row>
    <row r="3" spans="1:3" x14ac:dyDescent="0.2">
      <c r="A3" s="276" t="s">
        <v>784</v>
      </c>
      <c r="B3" s="276"/>
      <c r="C3" s="276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5" t="s">
        <v>783</v>
      </c>
      <c r="C6" s="275"/>
    </row>
    <row r="7" spans="1:3" x14ac:dyDescent="0.2">
      <c r="A7" s="239" t="s">
        <v>786</v>
      </c>
      <c r="B7" s="273" t="s">
        <v>782</v>
      </c>
      <c r="C7" s="274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1772706.89</v>
      </c>
      <c r="C9" s="229">
        <f>'DOE25'!G196+'DOE25'!G214+'DOE25'!G232+'DOE25'!G275+'DOE25'!G294+'DOE25'!G313</f>
        <v>818280.33</v>
      </c>
    </row>
    <row r="10" spans="1:3" x14ac:dyDescent="0.2">
      <c r="A10" t="s">
        <v>779</v>
      </c>
      <c r="B10" s="240">
        <f>1589314.26+4723+53539.1+1540+31511.6</f>
        <v>1680627.9600000002</v>
      </c>
      <c r="C10" s="240">
        <f>468475.82+5111.83+14499.59+1668.24+125180.76+339.48+2349.2+180621.48+399.73+2010.01+3560.84+13313.27+750.08</f>
        <v>818280.32999999984</v>
      </c>
    </row>
    <row r="11" spans="1:3" x14ac:dyDescent="0.2">
      <c r="A11" t="s">
        <v>780</v>
      </c>
      <c r="B11" s="240">
        <v>0</v>
      </c>
      <c r="C11" s="240">
        <v>0</v>
      </c>
    </row>
    <row r="12" spans="1:3" x14ac:dyDescent="0.2">
      <c r="A12" t="s">
        <v>781</v>
      </c>
      <c r="B12" s="240">
        <f>76083.93+8260+7735</f>
        <v>92078.93</v>
      </c>
      <c r="C12" s="240">
        <v>0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1772706.8900000001</v>
      </c>
      <c r="C13" s="231">
        <f>SUM(C10:C12)</f>
        <v>818280.32999999984</v>
      </c>
    </row>
    <row r="14" spans="1:3" x14ac:dyDescent="0.2">
      <c r="B14" s="230"/>
      <c r="C14" s="230"/>
    </row>
    <row r="15" spans="1:3" x14ac:dyDescent="0.2">
      <c r="B15" s="275" t="s">
        <v>783</v>
      </c>
      <c r="C15" s="275"/>
    </row>
    <row r="16" spans="1:3" x14ac:dyDescent="0.2">
      <c r="A16" s="239" t="s">
        <v>787</v>
      </c>
      <c r="B16" s="273" t="s">
        <v>707</v>
      </c>
      <c r="C16" s="274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653387.07999999984</v>
      </c>
      <c r="C18" s="229">
        <f>'DOE25'!G197+'DOE25'!G215+'DOE25'!G233+'DOE25'!G276+'DOE25'!G295+'DOE25'!G314</f>
        <v>175809.56999999998</v>
      </c>
    </row>
    <row r="19" spans="1:3" x14ac:dyDescent="0.2">
      <c r="A19" t="s">
        <v>779</v>
      </c>
      <c r="B19" s="240">
        <f>269363.16+45287+63818.82</f>
        <v>378468.98</v>
      </c>
      <c r="C19" s="240">
        <f>-18707.71+28925.85+18667.01+8231.28+275.34+438.66+35.28+43874.3+4172.28+37826.7+7124.43+5593.04+670.48+422.83+319.28+16508.46+400.83</f>
        <v>154778.34</v>
      </c>
    </row>
    <row r="20" spans="1:3" x14ac:dyDescent="0.2">
      <c r="A20" t="s">
        <v>780</v>
      </c>
      <c r="B20" s="240">
        <f>244545.25</f>
        <v>244545.25</v>
      </c>
      <c r="C20" s="240">
        <v>18707.71</v>
      </c>
    </row>
    <row r="21" spans="1:3" x14ac:dyDescent="0.2">
      <c r="A21" t="s">
        <v>781</v>
      </c>
      <c r="B21" s="240">
        <f>14092.85+16280</f>
        <v>30372.85</v>
      </c>
      <c r="C21" s="240">
        <v>2323.52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653387.07999999996</v>
      </c>
      <c r="C22" s="231">
        <f>SUM(C19:C21)</f>
        <v>175809.56999999998</v>
      </c>
    </row>
    <row r="23" spans="1:3" x14ac:dyDescent="0.2">
      <c r="B23" s="230"/>
      <c r="C23" s="230"/>
    </row>
    <row r="24" spans="1:3" x14ac:dyDescent="0.2">
      <c r="B24" s="275" t="s">
        <v>783</v>
      </c>
      <c r="C24" s="275"/>
    </row>
    <row r="25" spans="1:3" x14ac:dyDescent="0.2">
      <c r="A25" s="239" t="s">
        <v>788</v>
      </c>
      <c r="B25" s="273" t="s">
        <v>708</v>
      </c>
      <c r="C25" s="274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5" t="s">
        <v>783</v>
      </c>
      <c r="C33" s="275"/>
    </row>
    <row r="34" spans="1:3" x14ac:dyDescent="0.2">
      <c r="A34" s="239" t="s">
        <v>789</v>
      </c>
      <c r="B34" s="273" t="s">
        <v>709</v>
      </c>
      <c r="C34" s="274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31350</v>
      </c>
      <c r="C36" s="235">
        <f>'DOE25'!G199+'DOE25'!G217+'DOE25'!G235+'DOE25'!G278+'DOE25'!G297+'DOE25'!G316</f>
        <v>5284.6</v>
      </c>
    </row>
    <row r="37" spans="1:3" x14ac:dyDescent="0.2">
      <c r="A37" t="s">
        <v>779</v>
      </c>
      <c r="B37" s="240">
        <f>17500+12350</f>
        <v>29850</v>
      </c>
      <c r="C37" s="240">
        <f>2398.35+2873.05</f>
        <v>5271.4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v>1500</v>
      </c>
      <c r="C39" s="240">
        <v>13.2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31350</v>
      </c>
      <c r="C40" s="231">
        <f>SUM(C37:C39)</f>
        <v>5284.5999999999995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3" sqref="E1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717</v>
      </c>
      <c r="B2" s="265" t="str">
        <f>'DOE25'!A2</f>
        <v xml:space="preserve">FREMONT SCHOOL DISTRICT - SAU 83 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7278645.9299999997</v>
      </c>
      <c r="D5" s="20">
        <f>SUM('DOE25'!L196:L199)+SUM('DOE25'!L214:L217)+SUM('DOE25'!L232:L235)-F5-G5</f>
        <v>7274997.4399999995</v>
      </c>
      <c r="E5" s="243"/>
      <c r="F5" s="255">
        <f>SUM('DOE25'!J196:J199)+SUM('DOE25'!J214:J217)+SUM('DOE25'!J232:J235)</f>
        <v>3568.4900000000002</v>
      </c>
      <c r="G5" s="53">
        <f>SUM('DOE25'!K196:K199)+SUM('DOE25'!K214:K217)+SUM('DOE25'!K232:K235)</f>
        <v>80</v>
      </c>
      <c r="H5" s="259"/>
    </row>
    <row r="6" spans="1:9" x14ac:dyDescent="0.2">
      <c r="A6" s="32">
        <v>2100</v>
      </c>
      <c r="B6" t="s">
        <v>801</v>
      </c>
      <c r="C6" s="245">
        <f t="shared" si="0"/>
        <v>723417.82</v>
      </c>
      <c r="D6" s="20">
        <f>'DOE25'!L201+'DOE25'!L219+'DOE25'!L237-F6-G6</f>
        <v>721425.82</v>
      </c>
      <c r="E6" s="243"/>
      <c r="F6" s="255">
        <f>'DOE25'!J201+'DOE25'!J219+'DOE25'!J237</f>
        <v>1992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221479.19999999995</v>
      </c>
      <c r="D7" s="20">
        <f>'DOE25'!L202+'DOE25'!L220+'DOE25'!L238-F7-G7</f>
        <v>182385.08999999997</v>
      </c>
      <c r="E7" s="243"/>
      <c r="F7" s="255">
        <f>'DOE25'!J202+'DOE25'!J220+'DOE25'!J238</f>
        <v>39094.11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361971.93</v>
      </c>
      <c r="D8" s="243"/>
      <c r="E8" s="20">
        <f>'DOE25'!L203+'DOE25'!L221+'DOE25'!L239-F8-G8-D9-D11</f>
        <v>343555.5</v>
      </c>
      <c r="F8" s="255">
        <f>'DOE25'!J203+'DOE25'!J221+'DOE25'!J239</f>
        <v>0</v>
      </c>
      <c r="G8" s="53">
        <f>'DOE25'!K203+'DOE25'!K221+'DOE25'!K239</f>
        <v>18416.43</v>
      </c>
      <c r="H8" s="259"/>
    </row>
    <row r="9" spans="1:9" x14ac:dyDescent="0.2">
      <c r="A9" s="32">
        <v>2310</v>
      </c>
      <c r="B9" t="s">
        <v>818</v>
      </c>
      <c r="C9" s="245">
        <f t="shared" si="0"/>
        <v>60537.23</v>
      </c>
      <c r="D9" s="244">
        <v>60537.23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12000</v>
      </c>
      <c r="D10" s="243"/>
      <c r="E10" s="244">
        <v>12000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189297.91</v>
      </c>
      <c r="D11" s="244">
        <f>38812.86+2969.18+3415.53+92942.28+26969.82+471.12+501.24+210.96+7110.08+8178.92+2862.17+1013.19+75.1+3280.47+484.99</f>
        <v>189297.91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368112.7</v>
      </c>
      <c r="D12" s="20">
        <f>'DOE25'!L204+'DOE25'!L222+'DOE25'!L240-F12-G12</f>
        <v>365098.77</v>
      </c>
      <c r="E12" s="243"/>
      <c r="F12" s="255">
        <f>'DOE25'!J204+'DOE25'!J222+'DOE25'!J240</f>
        <v>128</v>
      </c>
      <c r="G12" s="53">
        <f>'DOE25'!K204+'DOE25'!K222+'DOE25'!K240</f>
        <v>2885.9300000000003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443250.89999999997</v>
      </c>
      <c r="D14" s="20">
        <f>'DOE25'!L206+'DOE25'!L224+'DOE25'!L242-F14-G14</f>
        <v>380439.32999999996</v>
      </c>
      <c r="E14" s="243"/>
      <c r="F14" s="255">
        <f>'DOE25'!J206+'DOE25'!J224+'DOE25'!J242</f>
        <v>62811.569999999992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518519.59</v>
      </c>
      <c r="D15" s="20">
        <f>'DOE25'!L207+'DOE25'!L225+'DOE25'!L243-F15-G15</f>
        <v>518519.59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301000</v>
      </c>
      <c r="D25" s="243"/>
      <c r="E25" s="243"/>
      <c r="F25" s="258"/>
      <c r="G25" s="256"/>
      <c r="H25" s="257">
        <f>'DOE25'!L259+'DOE25'!L260+'DOE25'!L340+'DOE25'!L341</f>
        <v>301000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153321</v>
      </c>
      <c r="D29" s="20">
        <f>'DOE25'!L357+'DOE25'!L358+'DOE25'!L359-'DOE25'!I366-F29-G29</f>
        <v>153321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260831.25</v>
      </c>
      <c r="D31" s="20">
        <f>'DOE25'!L289+'DOE25'!L308+'DOE25'!L327+'DOE25'!L332+'DOE25'!L333+'DOE25'!L334-F31-G31</f>
        <v>260281.25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550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10106303.43</v>
      </c>
      <c r="E33" s="246">
        <f>SUM(E5:E31)</f>
        <v>355555.5</v>
      </c>
      <c r="F33" s="246">
        <f>SUM(F5:F31)</f>
        <v>107594.16999999998</v>
      </c>
      <c r="G33" s="246">
        <f>SUM(G5:G31)</f>
        <v>21932.36</v>
      </c>
      <c r="H33" s="246">
        <f>SUM(H5:H31)</f>
        <v>301000</v>
      </c>
    </row>
    <row r="35" spans="2:8" ht="12" thickBot="1" x14ac:dyDescent="0.25">
      <c r="B35" s="253" t="s">
        <v>847</v>
      </c>
      <c r="D35" s="254">
        <f>E33</f>
        <v>355555.5</v>
      </c>
      <c r="E35" s="249"/>
    </row>
    <row r="36" spans="2:8" ht="12" thickTop="1" x14ac:dyDescent="0.2">
      <c r="B36" t="s">
        <v>815</v>
      </c>
      <c r="D36" s="20">
        <f>D33</f>
        <v>10106303.43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89" activePane="bottomLeft" state="frozen"/>
      <selection pane="bottomLeft" activeCell="L17" sqref="L1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FREMONT SCHOOL DISTRICT - SAU 83 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-68686.45</v>
      </c>
      <c r="D8" s="95">
        <f>'DOE25'!G9</f>
        <v>19261.490000000002</v>
      </c>
      <c r="E8" s="95">
        <f>'DOE25'!H9</f>
        <v>0</v>
      </c>
      <c r="F8" s="95">
        <f>'DOE25'!I9</f>
        <v>0</v>
      </c>
      <c r="G8" s="95">
        <f>'DOE25'!J9</f>
        <v>10000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407790.16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407790.16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2510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71878.720000000001</v>
      </c>
      <c r="D12" s="95">
        <f>'DOE25'!G13</f>
        <v>9906.7999999999993</v>
      </c>
      <c r="E12" s="95">
        <f>'DOE25'!H13</f>
        <v>37866.82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10807.05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4487.16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413492.42999999993</v>
      </c>
      <c r="D18" s="41">
        <f>SUM(D8:D17)</f>
        <v>44462.5</v>
      </c>
      <c r="E18" s="41">
        <f>SUM(E8:E17)</f>
        <v>37866.82</v>
      </c>
      <c r="F18" s="41">
        <f>SUM(F8:F17)</f>
        <v>0</v>
      </c>
      <c r="G18" s="41">
        <f>SUM(G8:G17)</f>
        <v>417790.16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34746.910000000003</v>
      </c>
      <c r="E21" s="95">
        <f>'DOE25'!H22</f>
        <v>37866.82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81672.11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131910.69</v>
      </c>
      <c r="D23" s="95">
        <f>'DOE25'!G24</f>
        <v>5228.43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213582.8</v>
      </c>
      <c r="D31" s="41">
        <f>SUM(D21:D30)</f>
        <v>39975.340000000004</v>
      </c>
      <c r="E31" s="41">
        <f>SUM(E21:E30)</f>
        <v>37866.82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4487.16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417790.16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189909.63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199909.63</v>
      </c>
      <c r="D49" s="41">
        <f>SUM(D34:D48)</f>
        <v>4487.16</v>
      </c>
      <c r="E49" s="41">
        <f>SUM(E34:E48)</f>
        <v>0</v>
      </c>
      <c r="F49" s="41">
        <f>SUM(F34:F48)</f>
        <v>0</v>
      </c>
      <c r="G49" s="41">
        <f>SUM(G34:G48)</f>
        <v>417790.16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413492.43</v>
      </c>
      <c r="D50" s="41">
        <f>D49+D31</f>
        <v>44462.5</v>
      </c>
      <c r="E50" s="41">
        <f>E49+E31</f>
        <v>37866.82</v>
      </c>
      <c r="F50" s="41">
        <f>F49+F31</f>
        <v>0</v>
      </c>
      <c r="G50" s="41">
        <f>G49+G31</f>
        <v>417790.16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7676176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14701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251.74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103916.43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22736.760000000002</v>
      </c>
      <c r="D60" s="95">
        <f>SUM('DOE25'!G97:G109)</f>
        <v>1725.9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37689.5</v>
      </c>
      <c r="D61" s="130">
        <f>SUM(D56:D60)</f>
        <v>105642.32999999999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7713865.5</v>
      </c>
      <c r="D62" s="22">
        <f>D55+D61</f>
        <v>105642.32999999999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1783978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846882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2630860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88485.51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42386.6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14643.84</v>
      </c>
      <c r="D76" s="95">
        <f>SUM('DOE25'!G130:G134)</f>
        <v>255.33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145515.94999999998</v>
      </c>
      <c r="D77" s="130">
        <f>SUM(D71:D76)</f>
        <v>255.33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2776375.95</v>
      </c>
      <c r="D80" s="130">
        <f>SUM(D78:D79)+D77+D69</f>
        <v>255.33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91578.39</v>
      </c>
      <c r="D87" s="95">
        <f>SUM('DOE25'!G152:G160)</f>
        <v>45855.38</v>
      </c>
      <c r="E87" s="95">
        <f>SUM('DOE25'!H152:H160)</f>
        <v>260831.25000000003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91578.39</v>
      </c>
      <c r="D90" s="131">
        <f>SUM(D84:D89)</f>
        <v>45855.38</v>
      </c>
      <c r="E90" s="131">
        <f>SUM(E84:E89)</f>
        <v>260831.25000000003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10000</v>
      </c>
    </row>
    <row r="103" spans="1:7" ht="12.75" thickTop="1" thickBot="1" x14ac:dyDescent="0.25">
      <c r="A103" s="33" t="s">
        <v>765</v>
      </c>
      <c r="C103" s="86">
        <f>C62+C80+C90+C102</f>
        <v>10581819.84</v>
      </c>
      <c r="D103" s="86">
        <f>D62+D80+D90+D102</f>
        <v>151753.03999999998</v>
      </c>
      <c r="E103" s="86">
        <f>E62+E80+E90+E102</f>
        <v>260831.25000000003</v>
      </c>
      <c r="F103" s="86">
        <f>F62+F80+F90+F102</f>
        <v>0</v>
      </c>
      <c r="G103" s="86">
        <f>G62+G80+G102</f>
        <v>10000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5925651.0800000001</v>
      </c>
      <c r="D108" s="24" t="s">
        <v>289</v>
      </c>
      <c r="E108" s="95">
        <f>('DOE25'!L275)+('DOE25'!L294)+('DOE25'!L313)</f>
        <v>112960.62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1308447.8199999998</v>
      </c>
      <c r="D109" s="24" t="s">
        <v>289</v>
      </c>
      <c r="E109" s="95">
        <f>('DOE25'!L276)+('DOE25'!L295)+('DOE25'!L314)</f>
        <v>130173.9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44547.03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7278645.9300000006</v>
      </c>
      <c r="D114" s="86">
        <f>SUM(D108:D113)</f>
        <v>0</v>
      </c>
      <c r="E114" s="86">
        <f>SUM(E108:E113)</f>
        <v>243134.52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723417.82</v>
      </c>
      <c r="D117" s="24" t="s">
        <v>289</v>
      </c>
      <c r="E117" s="95">
        <f>+('DOE25'!L280)+('DOE25'!L299)+('DOE25'!L318)</f>
        <v>500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221479.19999999995</v>
      </c>
      <c r="D118" s="24" t="s">
        <v>289</v>
      </c>
      <c r="E118" s="95">
        <f>+('DOE25'!L281)+('DOE25'!L300)+('DOE25'!L319)</f>
        <v>15641.73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611807.07000000007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368112.7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443250.89999999997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518519.59</v>
      </c>
      <c r="D123" s="24" t="s">
        <v>289</v>
      </c>
      <c r="E123" s="95">
        <f>+('DOE25'!L286)+('DOE25'!L305)+('DOE25'!L324)</f>
        <v>1505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50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153321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2886587.28</v>
      </c>
      <c r="D127" s="86">
        <f>SUM(D117:D126)</f>
        <v>153321</v>
      </c>
      <c r="E127" s="86">
        <f>SUM(E117:E126)</f>
        <v>17696.73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270000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31000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10000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311000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10476233.210000001</v>
      </c>
      <c r="D144" s="86">
        <f>(D114+D127+D143)</f>
        <v>153321</v>
      </c>
      <c r="E144" s="86">
        <f>(E114+E127+E143)</f>
        <v>260831.25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10</v>
      </c>
      <c r="C150" s="153">
        <f>'DOE25'!G489</f>
        <v>10</v>
      </c>
      <c r="D150" s="153">
        <f>'DOE25'!H489</f>
        <v>5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08/03</v>
      </c>
      <c r="C151" s="152" t="str">
        <f>'DOE25'!G490</f>
        <v>08/04</v>
      </c>
      <c r="D151" s="152" t="str">
        <f>'DOE25'!H490</f>
        <v>04/13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08/13</v>
      </c>
      <c r="C152" s="152" t="str">
        <f>'DOE25'!G491</f>
        <v>08/14</v>
      </c>
      <c r="D152" s="152" t="str">
        <f>'DOE25'!H491</f>
        <v>08/17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450000</v>
      </c>
      <c r="C153" s="137">
        <f>'DOE25'!G492</f>
        <v>2239800</v>
      </c>
      <c r="D153" s="137">
        <f>'DOE25'!H492</f>
        <v>67291.399999999994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4.76</v>
      </c>
      <c r="C154" s="137">
        <f>'DOE25'!G493</f>
        <v>3.63</v>
      </c>
      <c r="D154" s="137">
        <f>'DOE25'!H493</f>
        <v>2.68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90000</v>
      </c>
      <c r="C155" s="137">
        <f>'DOE25'!G494</f>
        <v>665000</v>
      </c>
      <c r="D155" s="137">
        <f>'DOE25'!H494</f>
        <v>67291.399999999994</v>
      </c>
      <c r="E155" s="137">
        <f>'DOE25'!I494</f>
        <v>0</v>
      </c>
      <c r="F155" s="137">
        <f>'DOE25'!J494</f>
        <v>0</v>
      </c>
      <c r="G155" s="138">
        <f>SUM(B155:F155)</f>
        <v>822291.4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45000</v>
      </c>
      <c r="C157" s="137">
        <f>'DOE25'!G496</f>
        <v>220000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265000</v>
      </c>
    </row>
    <row r="158" spans="1:9" x14ac:dyDescent="0.2">
      <c r="A158" s="22" t="s">
        <v>35</v>
      </c>
      <c r="B158" s="137">
        <f>'DOE25'!F497</f>
        <v>45000</v>
      </c>
      <c r="C158" s="137">
        <f>'DOE25'!G497</f>
        <v>440000</v>
      </c>
      <c r="D158" s="137">
        <f>'DOE25'!H497</f>
        <v>67291.399999999994</v>
      </c>
      <c r="E158" s="137">
        <f>'DOE25'!I497</f>
        <v>0</v>
      </c>
      <c r="F158" s="137">
        <f>'DOE25'!J497</f>
        <v>0</v>
      </c>
      <c r="G158" s="138">
        <f t="shared" si="0"/>
        <v>552291.4</v>
      </c>
    </row>
    <row r="159" spans="1:9" x14ac:dyDescent="0.2">
      <c r="A159" s="22" t="s">
        <v>36</v>
      </c>
      <c r="B159" s="137">
        <f>'DOE25'!F498</f>
        <v>1125</v>
      </c>
      <c r="C159" s="137">
        <f>'DOE25'!G498</f>
        <v>5500</v>
      </c>
      <c r="D159" s="137">
        <f>'DOE25'!H498</f>
        <v>4240.6499999999996</v>
      </c>
      <c r="E159" s="137">
        <f>'DOE25'!I498</f>
        <v>0</v>
      </c>
      <c r="F159" s="137">
        <f>'DOE25'!J498</f>
        <v>0</v>
      </c>
      <c r="G159" s="138">
        <f t="shared" si="0"/>
        <v>10865.65</v>
      </c>
    </row>
    <row r="160" spans="1:9" x14ac:dyDescent="0.2">
      <c r="A160" s="22" t="s">
        <v>37</v>
      </c>
      <c r="B160" s="137">
        <f>'DOE25'!F499</f>
        <v>46125</v>
      </c>
      <c r="C160" s="137">
        <f>'DOE25'!G499</f>
        <v>445500</v>
      </c>
      <c r="D160" s="137">
        <f>'DOE25'!H499</f>
        <v>71532.049999999988</v>
      </c>
      <c r="E160" s="137">
        <f>'DOE25'!I499</f>
        <v>0</v>
      </c>
      <c r="F160" s="137">
        <f>'DOE25'!J499</f>
        <v>0</v>
      </c>
      <c r="G160" s="138">
        <f t="shared" si="0"/>
        <v>563157.05000000005</v>
      </c>
    </row>
    <row r="161" spans="1:7" x14ac:dyDescent="0.2">
      <c r="A161" s="22" t="s">
        <v>38</v>
      </c>
      <c r="B161" s="137">
        <f>'DOE25'!F500</f>
        <v>45000</v>
      </c>
      <c r="C161" s="137">
        <f>'DOE25'!G500</f>
        <v>220000</v>
      </c>
      <c r="D161" s="137">
        <f>'DOE25'!H500</f>
        <v>13703.63</v>
      </c>
      <c r="E161" s="137">
        <f>'DOE25'!I500</f>
        <v>0</v>
      </c>
      <c r="F161" s="137">
        <f>'DOE25'!J500</f>
        <v>0</v>
      </c>
      <c r="G161" s="138">
        <f t="shared" si="0"/>
        <v>278703.63</v>
      </c>
    </row>
    <row r="162" spans="1:7" x14ac:dyDescent="0.2">
      <c r="A162" s="22" t="s">
        <v>39</v>
      </c>
      <c r="B162" s="137">
        <f>'DOE25'!F501</f>
        <v>1125</v>
      </c>
      <c r="C162" s="137">
        <f>'DOE25'!G501</f>
        <v>16500</v>
      </c>
      <c r="D162" s="137">
        <f>'DOE25'!H501</f>
        <v>602.78</v>
      </c>
      <c r="E162" s="137">
        <f>'DOE25'!I501</f>
        <v>0</v>
      </c>
      <c r="F162" s="137">
        <f>'DOE25'!J501</f>
        <v>0</v>
      </c>
      <c r="G162" s="138">
        <f t="shared" si="0"/>
        <v>18227.78</v>
      </c>
    </row>
    <row r="163" spans="1:7" x14ac:dyDescent="0.2">
      <c r="A163" s="22" t="s">
        <v>246</v>
      </c>
      <c r="B163" s="137">
        <f>'DOE25'!F502</f>
        <v>46125</v>
      </c>
      <c r="C163" s="137">
        <f>'DOE25'!G502</f>
        <v>236500</v>
      </c>
      <c r="D163" s="137">
        <f>'DOE25'!H502</f>
        <v>14306.41</v>
      </c>
      <c r="E163" s="137">
        <f>'DOE25'!I502</f>
        <v>0</v>
      </c>
      <c r="F163" s="137">
        <f>'DOE25'!J502</f>
        <v>0</v>
      </c>
      <c r="G163" s="138">
        <f t="shared" si="0"/>
        <v>296931.40999999997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7" t="s">
        <v>717</v>
      </c>
      <c r="B2" s="186" t="str">
        <f>'DOE25'!A2</f>
        <v xml:space="preserve">FREMONT SCHOOL DISTRICT - SAU 83 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13727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13727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6038612</v>
      </c>
      <c r="D10" s="182">
        <f>ROUND((C10/$C$28)*100,1)</f>
        <v>57.5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1438622</v>
      </c>
      <c r="D11" s="182">
        <f>ROUND((C11/$C$28)*100,1)</f>
        <v>13.7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44547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723918</v>
      </c>
      <c r="D15" s="182">
        <f t="shared" ref="D15:D27" si="0">ROUND((C15/$C$28)*100,1)</f>
        <v>6.9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237121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611857</v>
      </c>
      <c r="D17" s="182">
        <f t="shared" si="0"/>
        <v>5.8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368113</v>
      </c>
      <c r="D18" s="182">
        <f t="shared" si="0"/>
        <v>3.5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443251</v>
      </c>
      <c r="D20" s="182">
        <f t="shared" si="0"/>
        <v>4.2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520025</v>
      </c>
      <c r="D21" s="182">
        <f t="shared" si="0"/>
        <v>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31000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47678.670000000013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10504744.67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10504744.67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270000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7676176</v>
      </c>
      <c r="D35" s="182">
        <f t="shared" ref="D35:D40" si="1">ROUND((C35/$C$41)*100,1)</f>
        <v>70.5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37689.5</v>
      </c>
      <c r="D36" s="182">
        <f t="shared" si="1"/>
        <v>0.3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2630860</v>
      </c>
      <c r="D37" s="182">
        <f t="shared" si="1"/>
        <v>24.2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145771</v>
      </c>
      <c r="D38" s="182">
        <f t="shared" si="1"/>
        <v>1.3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398265</v>
      </c>
      <c r="D39" s="182">
        <f t="shared" si="1"/>
        <v>3.7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10888761.5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770</v>
      </c>
      <c r="B1" s="291"/>
      <c r="C1" s="291"/>
      <c r="D1" s="291"/>
      <c r="E1" s="291"/>
      <c r="F1" s="291"/>
      <c r="G1" s="291"/>
      <c r="H1" s="291"/>
      <c r="I1" s="291"/>
      <c r="J1" s="213"/>
      <c r="K1" s="213"/>
      <c r="L1" s="213"/>
      <c r="M1" s="214"/>
    </row>
    <row r="2" spans="1:26" ht="12.75" x14ac:dyDescent="0.2">
      <c r="A2" s="286" t="s">
        <v>767</v>
      </c>
      <c r="B2" s="287"/>
      <c r="C2" s="287"/>
      <c r="D2" s="287"/>
      <c r="E2" s="287"/>
      <c r="F2" s="294" t="str">
        <f>'DOE25'!A2</f>
        <v xml:space="preserve">FREMONT SCHOOL DISTRICT - SAU 83 </v>
      </c>
      <c r="G2" s="295"/>
      <c r="H2" s="295"/>
      <c r="I2" s="295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2" t="s">
        <v>771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8"/>
      <c r="B4" s="219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7"/>
      <c r="AO29" s="207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7"/>
      <c r="BB29" s="207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7"/>
      <c r="BO29" s="207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7"/>
      <c r="CB29" s="207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7"/>
      <c r="CO29" s="207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7"/>
      <c r="DB29" s="207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7"/>
      <c r="DO29" s="207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7"/>
      <c r="EB29" s="207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7"/>
      <c r="EO29" s="207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7"/>
      <c r="FB29" s="207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7"/>
      <c r="FO29" s="207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7"/>
      <c r="GB29" s="207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7"/>
      <c r="GO29" s="207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7"/>
      <c r="HB29" s="207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7"/>
      <c r="HO29" s="207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7"/>
      <c r="IB29" s="207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7"/>
      <c r="IO29" s="207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7"/>
      <c r="AO30" s="207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7"/>
      <c r="BB30" s="207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7"/>
      <c r="BO30" s="207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7"/>
      <c r="CB30" s="207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7"/>
      <c r="CO30" s="207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7"/>
      <c r="DB30" s="207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7"/>
      <c r="DO30" s="207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7"/>
      <c r="EB30" s="207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7"/>
      <c r="EO30" s="207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7"/>
      <c r="FB30" s="207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7"/>
      <c r="FO30" s="207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7"/>
      <c r="GB30" s="207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7"/>
      <c r="GO30" s="207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7"/>
      <c r="HB30" s="207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7"/>
      <c r="HO30" s="207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7"/>
      <c r="IB30" s="207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7"/>
      <c r="IO30" s="207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7"/>
      <c r="AO31" s="207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7"/>
      <c r="BB31" s="207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7"/>
      <c r="BO31" s="207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7"/>
      <c r="CB31" s="207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7"/>
      <c r="CO31" s="207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7"/>
      <c r="DB31" s="207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7"/>
      <c r="DO31" s="207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7"/>
      <c r="EB31" s="207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7"/>
      <c r="EO31" s="207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7"/>
      <c r="FB31" s="207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7"/>
      <c r="FO31" s="207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7"/>
      <c r="GB31" s="207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7"/>
      <c r="GO31" s="207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7"/>
      <c r="HB31" s="207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7"/>
      <c r="HO31" s="207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7"/>
      <c r="IB31" s="207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7"/>
      <c r="IO31" s="207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9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7"/>
      <c r="AO38" s="207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7"/>
      <c r="BB38" s="207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7"/>
      <c r="BO38" s="207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7"/>
      <c r="CB38" s="207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7"/>
      <c r="CO38" s="207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7"/>
      <c r="DB38" s="207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7"/>
      <c r="DO38" s="207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7"/>
      <c r="EB38" s="207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7"/>
      <c r="EO38" s="207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7"/>
      <c r="FB38" s="207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7"/>
      <c r="FO38" s="207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7"/>
      <c r="GB38" s="207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7"/>
      <c r="GO38" s="207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7"/>
      <c r="HB38" s="207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7"/>
      <c r="HO38" s="207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7"/>
      <c r="IB38" s="207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7"/>
      <c r="IO38" s="207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7"/>
      <c r="AO39" s="207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7"/>
      <c r="BB39" s="207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7"/>
      <c r="BO39" s="207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7"/>
      <c r="CB39" s="207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7"/>
      <c r="CO39" s="207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7"/>
      <c r="DB39" s="207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7"/>
      <c r="DO39" s="207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7"/>
      <c r="EB39" s="207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7"/>
      <c r="EO39" s="207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7"/>
      <c r="FB39" s="207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7"/>
      <c r="FO39" s="207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7"/>
      <c r="GB39" s="207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7"/>
      <c r="GO39" s="207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7"/>
      <c r="HB39" s="207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7"/>
      <c r="HO39" s="207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7"/>
      <c r="IB39" s="207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7"/>
      <c r="IO39" s="207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7"/>
      <c r="AO40" s="207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7"/>
      <c r="BB40" s="207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7"/>
      <c r="BO40" s="207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7"/>
      <c r="CB40" s="207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7"/>
      <c r="CO40" s="207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7"/>
      <c r="DB40" s="207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7"/>
      <c r="DO40" s="207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7"/>
      <c r="EB40" s="207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7"/>
      <c r="EO40" s="207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7"/>
      <c r="FB40" s="207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7"/>
      <c r="FO40" s="207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7"/>
      <c r="GB40" s="207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7"/>
      <c r="GO40" s="207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7"/>
      <c r="HB40" s="207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7"/>
      <c r="HO40" s="207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7"/>
      <c r="IB40" s="207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7"/>
      <c r="IO40" s="207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9" t="s">
        <v>848</v>
      </c>
      <c r="B72" s="299"/>
      <c r="C72" s="299"/>
      <c r="D72" s="299"/>
      <c r="E72" s="29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11"/>
      <c r="B74" s="211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11"/>
      <c r="B75" s="211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11"/>
      <c r="B76" s="211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11"/>
      <c r="B77" s="211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11"/>
      <c r="B78" s="211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11"/>
      <c r="B79" s="211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11"/>
      <c r="B80" s="211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11"/>
      <c r="B81" s="211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11"/>
      <c r="B82" s="211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11"/>
      <c r="B83" s="211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11"/>
      <c r="B84" s="211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11"/>
      <c r="B85" s="211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11"/>
      <c r="B86" s="211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11"/>
      <c r="B87" s="211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11"/>
      <c r="B88" s="211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11"/>
      <c r="B89" s="211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11"/>
      <c r="B90" s="211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sheetProtection password="BB0A" sheet="1" objects="1" scenarios="1"/>
  <mergeCells count="223"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61:M61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76:M76"/>
    <mergeCell ref="C66:M66"/>
    <mergeCell ref="C70:M70"/>
    <mergeCell ref="A72:E72"/>
    <mergeCell ref="C73:M73"/>
    <mergeCell ref="C74:M74"/>
    <mergeCell ref="C35:M35"/>
    <mergeCell ref="C36:M36"/>
    <mergeCell ref="C38:M38"/>
    <mergeCell ref="C65:M65"/>
    <mergeCell ref="C56:M56"/>
    <mergeCell ref="C57:M57"/>
    <mergeCell ref="C59:M59"/>
    <mergeCell ref="C60:M60"/>
    <mergeCell ref="C58:M58"/>
    <mergeCell ref="C62:M62"/>
    <mergeCell ref="C52:M52"/>
    <mergeCell ref="C50:M50"/>
    <mergeCell ref="C47:M47"/>
    <mergeCell ref="C48:M48"/>
    <mergeCell ref="C49:M49"/>
    <mergeCell ref="C51:M51"/>
    <mergeCell ref="C21:M21"/>
    <mergeCell ref="C22:M22"/>
    <mergeCell ref="C23:M23"/>
    <mergeCell ref="C24:M24"/>
    <mergeCell ref="C29:M29"/>
    <mergeCell ref="C25:M25"/>
    <mergeCell ref="C26:M26"/>
    <mergeCell ref="C27:M27"/>
    <mergeCell ref="C34:M34"/>
    <mergeCell ref="DP29:DZ29"/>
    <mergeCell ref="CC30:CM30"/>
    <mergeCell ref="BC30:BM30"/>
    <mergeCell ref="BP30:BZ30"/>
    <mergeCell ref="DC30:DM30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P29:AZ29"/>
    <mergeCell ref="C14:M14"/>
    <mergeCell ref="C15:M15"/>
    <mergeCell ref="C16:M16"/>
    <mergeCell ref="C17:M17"/>
    <mergeCell ref="C18:M18"/>
    <mergeCell ref="C19:M19"/>
    <mergeCell ref="C20:M20"/>
    <mergeCell ref="C28:M28"/>
    <mergeCell ref="P30:Z30"/>
    <mergeCell ref="AC30:AM30"/>
    <mergeCell ref="AP30:AZ30"/>
    <mergeCell ref="C41:M41"/>
    <mergeCell ref="C33:M33"/>
    <mergeCell ref="C37:M37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32:M32"/>
    <mergeCell ref="C30:M30"/>
    <mergeCell ref="C31:M31"/>
    <mergeCell ref="P31:Z31"/>
    <mergeCell ref="AC31:AM31"/>
    <mergeCell ref="AP31:AZ31"/>
    <mergeCell ref="P32:Z32"/>
    <mergeCell ref="AC32:AM32"/>
    <mergeCell ref="C39:M39"/>
    <mergeCell ref="EC29:EM29"/>
    <mergeCell ref="EP29:EZ29"/>
    <mergeCell ref="FC29:FM29"/>
    <mergeCell ref="CP29:CZ29"/>
    <mergeCell ref="IC30:IM30"/>
    <mergeCell ref="IP30:IV30"/>
    <mergeCell ref="GC30:GM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DP30:DZ30"/>
    <mergeCell ref="DC29:DM29"/>
    <mergeCell ref="EC30:EM30"/>
    <mergeCell ref="EP30:EZ30"/>
    <mergeCell ref="CP30:CZ30"/>
    <mergeCell ref="HP30:HZ30"/>
    <mergeCell ref="FC30:FM30"/>
    <mergeCell ref="FP30:FZ30"/>
    <mergeCell ref="BC31:BM31"/>
    <mergeCell ref="BC32:BM32"/>
    <mergeCell ref="BC39:BM39"/>
    <mergeCell ref="BP31:BZ31"/>
    <mergeCell ref="CC31:CM31"/>
    <mergeCell ref="AP32:AZ32"/>
    <mergeCell ref="IC31:IM31"/>
    <mergeCell ref="IP31:IV31"/>
    <mergeCell ref="CP32:CZ32"/>
    <mergeCell ref="DC32:DM32"/>
    <mergeCell ref="CC32:CM32"/>
    <mergeCell ref="DP32:DZ32"/>
    <mergeCell ref="EC32:EM32"/>
    <mergeCell ref="EP32:EZ32"/>
    <mergeCell ref="FC32:FM32"/>
    <mergeCell ref="BP32:BZ32"/>
    <mergeCell ref="CP31:CZ31"/>
    <mergeCell ref="FP32:FZ32"/>
    <mergeCell ref="DC31:DM31"/>
    <mergeCell ref="DP31:DZ31"/>
    <mergeCell ref="EC31:EM31"/>
    <mergeCell ref="EP31:EZ31"/>
    <mergeCell ref="HP31:HZ31"/>
    <mergeCell ref="FC31:FM31"/>
    <mergeCell ref="FP31:FZ31"/>
    <mergeCell ref="GC31:GM31"/>
    <mergeCell ref="GP31:GZ31"/>
    <mergeCell ref="HC31:HM31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GP32:GZ32"/>
    <mergeCell ref="GC32:GM32"/>
    <mergeCell ref="HC39:HM39"/>
    <mergeCell ref="DC39:DM39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BP38:BZ38"/>
    <mergeCell ref="CC38:CM38"/>
    <mergeCell ref="DC38:DM38"/>
    <mergeCell ref="DP38:DZ38"/>
    <mergeCell ref="EC38:EM38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DC40:DM40"/>
    <mergeCell ref="EP40:EZ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P40:Z40"/>
    <mergeCell ref="AC40:AM40"/>
    <mergeCell ref="AP40:AZ40"/>
    <mergeCell ref="C42:M42"/>
    <mergeCell ref="C40: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2013-08-29T19:10:46Z</cp:lastPrinted>
  <dcterms:created xsi:type="dcterms:W3CDTF">1997-12-04T19:04:30Z</dcterms:created>
  <dcterms:modified xsi:type="dcterms:W3CDTF">2013-11-04T16:36:51Z</dcterms:modified>
</cp:coreProperties>
</file>