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8" i="12" l="1"/>
  <c r="B18" i="12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3" i="10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D15" i="13" s="1"/>
  <c r="C15" i="13" s="1"/>
  <c r="L207" i="1"/>
  <c r="L225" i="1"/>
  <c r="G661" i="1" s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E121" i="2" s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22" i="12"/>
  <c r="C22" i="12"/>
  <c r="B1" i="12"/>
  <c r="L386" i="1"/>
  <c r="L387" i="1"/>
  <c r="L388" i="1"/>
  <c r="L389" i="1"/>
  <c r="L390" i="1"/>
  <c r="L391" i="1"/>
  <c r="L392" i="1" s="1"/>
  <c r="C137" i="2" s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L249" i="1"/>
  <c r="L331" i="1"/>
  <c r="C23" i="10" s="1"/>
  <c r="L253" i="1"/>
  <c r="C25" i="10"/>
  <c r="L267" i="1"/>
  <c r="L268" i="1"/>
  <c r="L348" i="1"/>
  <c r="L349" i="1"/>
  <c r="I664" i="1"/>
  <c r="I669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E111" i="2"/>
  <c r="C112" i="2"/>
  <c r="E112" i="2"/>
  <c r="C113" i="2"/>
  <c r="E113" i="2"/>
  <c r="D114" i="2"/>
  <c r="F114" i="2"/>
  <c r="G114" i="2"/>
  <c r="C119" i="2"/>
  <c r="E119" i="2"/>
  <c r="E120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J256" i="1" s="1"/>
  <c r="J270" i="1" s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H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H460" i="1"/>
  <c r="F469" i="1"/>
  <c r="G469" i="1"/>
  <c r="H469" i="1"/>
  <c r="I469" i="1"/>
  <c r="J469" i="1"/>
  <c r="F473" i="1"/>
  <c r="F475" i="1" s="1"/>
  <c r="H621" i="1" s="1"/>
  <c r="G473" i="1"/>
  <c r="G475" i="1" s="1"/>
  <c r="H622" i="1" s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0" i="1"/>
  <c r="H640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C26" i="10"/>
  <c r="L350" i="1"/>
  <c r="G61" i="2"/>
  <c r="D19" i="13"/>
  <c r="C19" i="13" s="1"/>
  <c r="L426" i="1"/>
  <c r="H111" i="1"/>
  <c r="J640" i="1"/>
  <c r="J570" i="1"/>
  <c r="K570" i="1"/>
  <c r="L432" i="1"/>
  <c r="L418" i="1"/>
  <c r="I168" i="1"/>
  <c r="J642" i="1"/>
  <c r="J475" i="1"/>
  <c r="H625" i="1" s="1"/>
  <c r="I475" i="1"/>
  <c r="H624" i="1" s="1"/>
  <c r="J624" i="1" s="1"/>
  <c r="F168" i="1"/>
  <c r="J139" i="1"/>
  <c r="F570" i="1"/>
  <c r="G22" i="2"/>
  <c r="K544" i="1"/>
  <c r="J551" i="1"/>
  <c r="H551" i="1"/>
  <c r="C29" i="10"/>
  <c r="H139" i="1"/>
  <c r="L400" i="1"/>
  <c r="C138" i="2" s="1"/>
  <c r="F22" i="13"/>
  <c r="C22" i="13" s="1"/>
  <c r="H25" i="13"/>
  <c r="C25" i="13" s="1"/>
  <c r="H570" i="1"/>
  <c r="L559" i="1"/>
  <c r="G191" i="1"/>
  <c r="H191" i="1"/>
  <c r="C35" i="10"/>
  <c r="J654" i="1"/>
  <c r="J644" i="1"/>
  <c r="L569" i="1"/>
  <c r="I570" i="1"/>
  <c r="J635" i="1"/>
  <c r="G36" i="2"/>
  <c r="L564" i="1"/>
  <c r="A40" i="12" l="1"/>
  <c r="A13" i="12"/>
  <c r="L613" i="1"/>
  <c r="G551" i="1"/>
  <c r="I544" i="1"/>
  <c r="L528" i="1"/>
  <c r="G544" i="1"/>
  <c r="L533" i="1"/>
  <c r="K549" i="1"/>
  <c r="F551" i="1"/>
  <c r="K550" i="1"/>
  <c r="H544" i="1"/>
  <c r="L543" i="1"/>
  <c r="I551" i="1"/>
  <c r="K548" i="1"/>
  <c r="L538" i="1"/>
  <c r="E117" i="2"/>
  <c r="L308" i="1"/>
  <c r="H337" i="1"/>
  <c r="H351" i="1" s="1"/>
  <c r="L327" i="1"/>
  <c r="H33" i="13"/>
  <c r="E118" i="2"/>
  <c r="K337" i="1"/>
  <c r="K351" i="1" s="1"/>
  <c r="A31" i="12"/>
  <c r="E102" i="2"/>
  <c r="F102" i="2"/>
  <c r="D90" i="2"/>
  <c r="D80" i="2"/>
  <c r="F61" i="2"/>
  <c r="F62" i="2" s="1"/>
  <c r="G102" i="2"/>
  <c r="C90" i="2"/>
  <c r="E77" i="2"/>
  <c r="E80" i="2" s="1"/>
  <c r="G80" i="2"/>
  <c r="C49" i="2"/>
  <c r="J337" i="1"/>
  <c r="J351" i="1" s="1"/>
  <c r="G163" i="2"/>
  <c r="G159" i="2"/>
  <c r="G158" i="2"/>
  <c r="G156" i="2"/>
  <c r="G155" i="2"/>
  <c r="G337" i="1"/>
  <c r="G351" i="1" s="1"/>
  <c r="E108" i="2"/>
  <c r="E114" i="2" s="1"/>
  <c r="F337" i="1"/>
  <c r="F351" i="1" s="1"/>
  <c r="L289" i="1"/>
  <c r="L337" i="1" s="1"/>
  <c r="L351" i="1" s="1"/>
  <c r="G632" i="1" s="1"/>
  <c r="J632" i="1" s="1"/>
  <c r="K597" i="1"/>
  <c r="G646" i="1" s="1"/>
  <c r="J646" i="1" s="1"/>
  <c r="J648" i="1"/>
  <c r="G162" i="2"/>
  <c r="G160" i="2"/>
  <c r="E143" i="2"/>
  <c r="C102" i="2"/>
  <c r="C77" i="2"/>
  <c r="F77" i="2"/>
  <c r="F80" i="2" s="1"/>
  <c r="C69" i="2"/>
  <c r="D61" i="2"/>
  <c r="D62" i="2" s="1"/>
  <c r="E61" i="2"/>
  <c r="E62" i="2" s="1"/>
  <c r="E49" i="2"/>
  <c r="F31" i="2"/>
  <c r="D31" i="2"/>
  <c r="E31" i="2"/>
  <c r="F18" i="2"/>
  <c r="D17" i="13"/>
  <c r="C17" i="13" s="1"/>
  <c r="D6" i="13"/>
  <c r="C6" i="13" s="1"/>
  <c r="E16" i="13"/>
  <c r="C16" i="13" s="1"/>
  <c r="F49" i="2"/>
  <c r="E13" i="13"/>
  <c r="C13" i="13" s="1"/>
  <c r="G161" i="2"/>
  <c r="K502" i="1"/>
  <c r="K499" i="1"/>
  <c r="G157" i="2"/>
  <c r="I459" i="1"/>
  <c r="I460" i="1" s="1"/>
  <c r="H641" i="1" s="1"/>
  <c r="J641" i="1" s="1"/>
  <c r="J638" i="1"/>
  <c r="I445" i="1"/>
  <c r="G641" i="1" s="1"/>
  <c r="J639" i="1"/>
  <c r="J643" i="1"/>
  <c r="I368" i="1"/>
  <c r="H633" i="1" s="1"/>
  <c r="J633" i="1" s="1"/>
  <c r="D29" i="13"/>
  <c r="C29" i="13" s="1"/>
  <c r="E8" i="13"/>
  <c r="C8" i="13" s="1"/>
  <c r="G256" i="1"/>
  <c r="G270" i="1" s="1"/>
  <c r="D14" i="13"/>
  <c r="C14" i="13" s="1"/>
  <c r="C122" i="2"/>
  <c r="D12" i="13"/>
  <c r="C12" i="13" s="1"/>
  <c r="C18" i="10"/>
  <c r="C118" i="2"/>
  <c r="D7" i="13"/>
  <c r="C7" i="13" s="1"/>
  <c r="F90" i="2"/>
  <c r="F103" i="2" s="1"/>
  <c r="D49" i="2"/>
  <c r="D50" i="2" s="1"/>
  <c r="E18" i="2"/>
  <c r="H475" i="1"/>
  <c r="H623" i="1" s="1"/>
  <c r="J623" i="1" s="1"/>
  <c r="G622" i="1"/>
  <c r="J622" i="1" s="1"/>
  <c r="D18" i="2"/>
  <c r="H51" i="1"/>
  <c r="H618" i="1" s="1"/>
  <c r="J621" i="1"/>
  <c r="F51" i="1"/>
  <c r="H616" i="1" s="1"/>
  <c r="C31" i="2"/>
  <c r="J616" i="1"/>
  <c r="C18" i="2"/>
  <c r="C121" i="2"/>
  <c r="D5" i="13"/>
  <c r="C5" i="13" s="1"/>
  <c r="C15" i="10"/>
  <c r="K256" i="1"/>
  <c r="K270" i="1" s="1"/>
  <c r="F660" i="1"/>
  <c r="F256" i="1"/>
  <c r="F270" i="1" s="1"/>
  <c r="C19" i="10"/>
  <c r="I661" i="1"/>
  <c r="C61" i="2"/>
  <c r="C62" i="2" s="1"/>
  <c r="C120" i="2"/>
  <c r="I256" i="1"/>
  <c r="I270" i="1" s="1"/>
  <c r="C21" i="10"/>
  <c r="G660" i="1"/>
  <c r="D126" i="2"/>
  <c r="D127" i="2" s="1"/>
  <c r="D144" i="2" s="1"/>
  <c r="H660" i="1"/>
  <c r="C11" i="10"/>
  <c r="C10" i="10"/>
  <c r="C111" i="2"/>
  <c r="C108" i="2"/>
  <c r="C130" i="2"/>
  <c r="C117" i="2"/>
  <c r="L246" i="1"/>
  <c r="C17" i="10"/>
  <c r="C109" i="2"/>
  <c r="C16" i="10"/>
  <c r="L228" i="1"/>
  <c r="G659" i="1" s="1"/>
  <c r="H256" i="1"/>
  <c r="H270" i="1" s="1"/>
  <c r="C20" i="10"/>
  <c r="L210" i="1"/>
  <c r="L361" i="1"/>
  <c r="C27" i="10" s="1"/>
  <c r="C24" i="10"/>
  <c r="G31" i="13"/>
  <c r="G33" i="13" s="1"/>
  <c r="I337" i="1"/>
  <c r="I351" i="1" s="1"/>
  <c r="J649" i="1"/>
  <c r="L406" i="1"/>
  <c r="C139" i="2" s="1"/>
  <c r="C140" i="2" s="1"/>
  <c r="L570" i="1"/>
  <c r="I191" i="1"/>
  <c r="E90" i="2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G18" i="2" s="1"/>
  <c r="J19" i="1"/>
  <c r="G620" i="1" s="1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H647" i="1"/>
  <c r="J647" i="1" s="1"/>
  <c r="J651" i="1"/>
  <c r="G570" i="1"/>
  <c r="I433" i="1"/>
  <c r="G433" i="1"/>
  <c r="I662" i="1"/>
  <c r="K551" i="1" l="1"/>
  <c r="L544" i="1"/>
  <c r="H659" i="1"/>
  <c r="H663" i="1" s="1"/>
  <c r="H671" i="1" s="1"/>
  <c r="C6" i="10" s="1"/>
  <c r="E127" i="2"/>
  <c r="E144" i="2" s="1"/>
  <c r="F50" i="2"/>
  <c r="E103" i="2"/>
  <c r="C80" i="2"/>
  <c r="C50" i="2"/>
  <c r="E50" i="2"/>
  <c r="E33" i="13"/>
  <c r="D35" i="13" s="1"/>
  <c r="D31" i="13"/>
  <c r="C31" i="13" s="1"/>
  <c r="C127" i="2"/>
  <c r="G634" i="1"/>
  <c r="J634" i="1" s="1"/>
  <c r="C103" i="2"/>
  <c r="L256" i="1"/>
  <c r="L270" i="1" s="1"/>
  <c r="G631" i="1" s="1"/>
  <c r="J631" i="1" s="1"/>
  <c r="G663" i="1"/>
  <c r="G666" i="1" s="1"/>
  <c r="I660" i="1"/>
  <c r="C114" i="2"/>
  <c r="C143" i="2"/>
  <c r="C28" i="10"/>
  <c r="D23" i="10" s="1"/>
  <c r="F659" i="1"/>
  <c r="F663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C144" i="2"/>
  <c r="H666" i="1"/>
  <c r="G671" i="1"/>
  <c r="C5" i="10" s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71" i="1"/>
  <c r="C4" i="10" s="1"/>
  <c r="F666" i="1"/>
  <c r="I659" i="1"/>
  <c r="I663" i="1" s="1"/>
  <c r="I671" i="1" s="1"/>
  <c r="C7" i="10" s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<sst xmlns="http://schemas.openxmlformats.org/spreadsheetml/2006/main" count="3946" uniqueCount="912">
  <si>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</si>
  <si>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</si>
  <si>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</si>
  <si>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</si>
  <si>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</si>
  <si>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</si>
  <si>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</si>
  <si>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</si>
  <si>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</si>
  <si>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</si>
  <si>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</si>
  <si>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</si>
  <si>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</si>
  <si>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</si>
  <si>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</si>
  <si>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</si>
  <si>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</si>
  <si>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</si>
  <si>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</si>
  <si>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</si>
  <si>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</si>
  <si>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</si>
  <si>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</si>
  <si>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</si>
  <si>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</si>
  <si>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</si>
  <si>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</si>
  <si>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</si>
  <si>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</si>
  <si>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</si>
  <si>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</si>
  <si>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</si>
  <si>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</si>
  <si>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</si>
  <si>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</si>
  <si>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</si>
  <si>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</si>
  <si>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</si>
  <si>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</si>
  <si>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</si>
  <si>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</si>
  <si>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</si>
  <si>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</si>
  <si>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</si>
  <si>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</si>
  <si>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</si>
  <si>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</si>
  <si>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</si>
  <si>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</si>
  <si>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</si>
  <si>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</si>
  <si>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</si>
  <si>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</si>
  <si>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</si>
  <si>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</si>
  <si>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</si>
  <si>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</si>
  <si>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</si>
  <si>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</si>
  <si>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</si>
  <si>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</si>
  <si>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</si>
  <si>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</si>
  <si>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</si>
  <si>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</si>
  <si>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</si>
  <si>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</si>
  <si>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</si>
  <si>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</si>
  <si>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</si>
  <si>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</si>
  <si>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</si>
  <si>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</si>
  <si>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</si>
  <si>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</si>
  <si>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</si>
  <si>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</si>
  <si>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</si>
  <si>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</si>
  <si>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</si>
  <si>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</si>
  <si>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</si>
  <si>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</si>
  <si>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</si>
  <si>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</si>
  <si>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</si>
  <si>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</si>
  <si>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</si>
  <si>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</si>
  <si>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</si>
  <si>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</si>
  <si>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</si>
  <si>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</si>
  <si>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</si>
  <si>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</si>
  <si>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</si>
  <si>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</si>
  <si>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</si>
  <si>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</si>
  <si>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</si>
  <si>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</si>
  <si>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</si>
  <si>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</si>
  <si>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</si>
  <si>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</si>
  <si>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</si>
  <si>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</si>
  <si>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</si>
  <si>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</si>
  <si>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</si>
  <si>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</si>
  <si>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</si>
  <si>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</si>
  <si>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</si>
  <si>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</si>
  <si>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</si>
  <si>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</si>
  <si>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</si>
  <si>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</si>
  <si>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</si>
  <si>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</si>
  <si>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</si>
  <si>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</si>
  <si>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</si>
  <si>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</si>
  <si>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</si>
  <si>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</si>
  <si>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</si>
  <si>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</si>
  <si>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</si>
  <si>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</si>
  <si>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</si>
  <si>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</si>
  <si>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</si>
  <si>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</si>
  <si>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</si>
  <si>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</si>
  <si>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</si>
  <si>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</si>
  <si>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</si>
  <si>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</si>
  <si>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</si>
  <si>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</si>
  <si>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</si>
  <si>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</si>
  <si>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</si>
  <si>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</si>
  <si>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</si>
  <si>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</si>
  <si>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</si>
  <si>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</si>
  <si>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</si>
  <si>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</si>
  <si>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</si>
  <si>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</si>
  <si>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</si>
  <si>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</si>
  <si>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</si>
  <si>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</si>
  <si>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</si>
  <si>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</si>
  <si>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</si>
  <si>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</si>
  <si>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</si>
  <si>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</si>
  <si>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</si>
  <si>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</si>
  <si>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</si>
  <si>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</si>
  <si>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</si>
  <si>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</si>
  <si>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</si>
  <si>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</si>
  <si>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</si>
  <si>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</si>
  <si>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</si>
  <si>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</si>
  <si>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</si>
  <si>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</si>
  <si>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</si>
  <si>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</si>
  <si>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</si>
  <si>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</si>
  <si>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</si>
  <si>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</si>
  <si>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</si>
  <si>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</si>
  <si>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</si>
  <si>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</si>
  <si>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</si>
  <si>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</si>
  <si>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</si>
  <si>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</si>
  <si>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</si>
  <si>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</si>
  <si>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</si>
  <si>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</si>
  <si>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</si>
  <si>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</si>
  <si>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</si>
  <si>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</si>
  <si>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</si>
  <si>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</si>
  <si>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</si>
  <si>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</si>
  <si>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</si>
  <si>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</si>
  <si>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</si>
  <si>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</si>
  <si>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</si>
  <si>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</si>
  <si>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</si>
  <si>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</si>
  <si>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</si>
  <si>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</si>
  <si>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</si>
  <si>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</si>
  <si>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</si>
  <si>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</si>
  <si>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</si>
  <si>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</si>
  <si>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</si>
  <si>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</si>
  <si>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</si>
  <si>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</si>
  <si>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</si>
  <si>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</si>
  <si>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</si>
  <si>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</si>
  <si>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</si>
  <si>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</si>
  <si>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</si>
  <si>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</si>
  <si>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</si>
  <si>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</si>
  <si>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</si>
  <si>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</si>
  <si>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</si>
  <si>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</si>
  <si>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</si>
  <si>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</si>
  <si>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</si>
  <si>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</si>
  <si>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</si>
  <si>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</si>
  <si>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</si>
  <si>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</si>
  <si>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</si>
  <si>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</si>
  <si>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</si>
  <si>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</si>
  <si>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</si>
  <si>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</si>
  <si>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</si>
  <si>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</si>
  <si>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</si>
  <si>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</si>
  <si>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</si>
  <si>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</si>
  <si>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</si>
  <si>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</si>
  <si>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</si>
  <si>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</si>
  <si>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</si>
  <si>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</si>
  <si>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</si>
  <si>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</si>
  <si>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</si>
  <si>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</si>
  <si>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</si>
  <si>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</si>
  <si>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</si>
  <si>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</si>
  <si>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</si>
  <si>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</si>
  <si>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</si>
  <si>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</si>
  <si>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</si>
  <si>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</si>
  <si>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</si>
  <si>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</si>
  <si>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</si>
  <si>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</si>
  <si>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</si>
  <si>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</si>
  <si>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</si>
  <si>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</si>
  <si>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</si>
  <si>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</si>
  <si>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</si>
  <si>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</si>
  <si>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</si>
  <si>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</si>
  <si>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</si>
  <si>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</si>
  <si>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</si>
  <si>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</si>
  <si>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</si>
  <si>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</si>
  <si>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</si>
  <si>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</si>
  <si>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</si>
  <si>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</si>
  <si>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</si>
  <si>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</si>
  <si>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</si>
  <si>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</si>
  <si>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</si>
  <si>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</si>
  <si>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</si>
  <si>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</si>
  <si>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</si>
  <si>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</si>
  <si>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</si>
  <si>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</si>
  <si>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</si>
  <si>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</si>
  <si>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</si>
  <si>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</si>
  <si>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</si>
  <si>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</si>
  <si>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</si>
  <si>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</si>
  <si>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</si>
  <si>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</si>
  <si>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</si>
  <si>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</si>
  <si>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</si>
  <si>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</si>
  <si>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</si>
  <si>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</si>
  <si>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</si>
  <si>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</si>
  <si>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</si>
  <si>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</si>
  <si>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</si>
  <si>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</si>
  <si>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</si>
  <si>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</si>
  <si>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</si>
  <si>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</si>
  <si>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</si>
  <si>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</si>
  <si>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</si>
  <si>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</si>
  <si>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</si>
  <si>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</si>
  <si>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</si>
  <si>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</si>
  <si>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</si>
  <si>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</si>
  <si>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</si>
  <si>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</si>
  <si>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</si>
  <si>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</si>
  <si>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</si>
  <si>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</si>
  <si>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</si>
  <si>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</si>
  <si>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</si>
  <si>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</si>
  <si>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</si>
  <si>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</si>
  <si>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</si>
  <si>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</si>
  <si>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</si>
  <si>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</si>
  <si>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</si>
  <si>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</si>
  <si>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</si>
  <si>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</si>
  <si>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</si>
  <si>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</si>
  <si>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</si>
  <si>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</si>
  <si>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</si>
  <si>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</si>
  <si>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</si>
  <si>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</si>
  <si>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</si>
  <si>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</si>
  <si>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</si>
  <si>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</si>
  <si>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</si>
  <si>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</si>
  <si>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</si>
  <si>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</si>
  <si>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</si>
  <si>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</si>
  <si>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</si>
  <si>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</si>
  <si>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</si>
  <si>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</si>
  <si>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</si>
  <si>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</si>
  <si>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</si>
  <si>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</si>
  <si>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</si>
  <si>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</si>
  <si>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</si>
  <si>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</si>
  <si>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</si>
  <si>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</si>
  <si>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</si>
  <si>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</si>
  <si>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</si>
  <si>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</si>
  <si>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</si>
  <si>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</si>
  <si>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</si>
  <si>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</si>
  <si>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</si>
  <si>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</si>
  <si>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</si>
  <si>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</si>
  <si>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</si>
  <si>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</si>
  <si>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</si>
  <si>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</si>
  <si>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</si>
  <si>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</si>
  <si>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</si>
  <si>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</si>
  <si>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</si>
  <si>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</si>
  <si>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</si>
  <si>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</si>
  <si>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</si>
  <si>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</si>
  <si>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</si>
  <si>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</si>
  <si>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</si>
  <si>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</si>
  <si>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</si>
  <si>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</si>
  <si>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</si>
  <si>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</si>
  <si>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</si>
  <si>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</si>
  <si>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</si>
  <si>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</si>
  <si>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</si>
  <si>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</si>
  <si>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</si>
  <si>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</si>
  <si>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</si>
  <si>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</si>
  <si>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</si>
  <si>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</si>
  <si>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</si>
  <si>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</si>
  <si>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</si>
  <si>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</si>
  <si>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</si>
  <si>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</si>
  <si>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</si>
  <si>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</si>
  <si>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</si>
  <si>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</si>
  <si>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</si>
  <si>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</si>
  <si>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</si>
  <si>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</si>
  <si>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</si>
  <si>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</si>
  <si>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</si>
  <si>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</si>
  <si>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</si>
  <si>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</si>
  <si>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</si>
  <si>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</si>
  <si>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</si>
  <si>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</si>
  <si>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</si>
  <si>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</si>
  <si>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</si>
  <si>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</si>
  <si>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</si>
  <si>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</si>
  <si>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</si>
  <si>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</si>
  <si>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</si>
  <si>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</si>
  <si>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</si>
  <si>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</si>
  <si>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</si>
  <si>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</si>
  <si>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</si>
  <si>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</si>
  <si>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</si>
  <si>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</si>
  <si>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</si>
  <si>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</si>
  <si>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</si>
  <si>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</si>
  <si>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</si>
  <si>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</si>
  <si>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</si>
  <si>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</si>
  <si>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</si>
  <si>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</si>
  <si>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</si>
  <si>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</si>
  <si>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</si>
  <si>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</si>
  <si>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</si>
  <si>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</si>
  <si>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</si>
  <si>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</si>
  <si>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</si>
  <si>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</si>
  <si>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</si>
  <si>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</si>
  <si>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</si>
  <si>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</si>
  <si>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</si>
  <si>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</si>
  <si>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</si>
  <si>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</si>
  <si>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</si>
  <si>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</si>
  <si>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</si>
  <si>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</si>
  <si>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</si>
  <si>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</si>
  <si>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</si>
  <si>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</si>
  <si>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</si>
  <si>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</si>
  <si>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</si>
  <si>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</si>
  <si>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</si>
  <si>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</si>
  <si>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</si>
  <si>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</si>
  <si>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</si>
  <si>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</si>
  <si>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</si>
  <si>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</si>
  <si>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</si>
  <si>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</si>
  <si>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</si>
  <si>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</si>
  <si>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</si>
  <si>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</si>
  <si>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</si>
  <si>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</si>
  <si>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</si>
  <si>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</si>
  <si>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</si>
  <si>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</si>
  <si>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</si>
  <si>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</si>
  <si>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</si>
  <si>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</si>
  <si>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</si>
  <si>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</si>
  <si>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</si>
  <si>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</si>
  <si>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</si>
  <si>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</si>
  <si>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</si>
  <si>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</si>
  <si>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</si>
  <si>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</si>
  <si>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</si>
  <si>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</si>
  <si>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</si>
  <si>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</si>
  <si>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</si>
  <si>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</si>
  <si>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</si>
  <si>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</si>
  <si>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</si>
  <si>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</si>
  <si>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</si>
  <si>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</si>
  <si>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</si>
  <si>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</si>
  <si>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</si>
  <si>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</si>
  <si>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</si>
  <si>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</si>
  <si>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</si>
  <si>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</si>
  <si>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</si>
  <si>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</si>
  <si>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</si>
  <si>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</si>
  <si>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</si>
  <si>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</si>
  <si>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</si>
  <si>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</si>
  <si>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</si>
  <si>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</si>
  <si>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</si>
  <si>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</si>
  <si>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</si>
  <si>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</si>
  <si>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</si>
  <si>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</si>
  <si>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</si>
  <si>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</si>
  <si>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</si>
  <si>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</si>
  <si>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</si>
  <si>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</si>
  <si>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</si>
  <si>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</si>
  <si>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</si>
  <si>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</si>
  <si>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</si>
  <si>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</si>
  <si>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</si>
  <si>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</si>
  <si>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</si>
  <si>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</si>
  <si>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</si>
  <si>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</si>
  <si>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</si>
  <si>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</si>
  <si>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</si>
  <si>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</si>
  <si>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</si>
  <si>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</si>
  <si>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</si>
  <si>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</si>
  <si>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</si>
  <si>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</si>
  <si>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</si>
  <si>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</si>
  <si>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</si>
  <si>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</si>
  <si>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</si>
  <si>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</si>
  <si>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</si>
  <si>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</si>
  <si>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</si>
  <si>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</si>
  <si>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</si>
  <si>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</si>
  <si>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</si>
  <si>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</si>
  <si>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</si>
  <si>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</si>
  <si>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</si>
  <si>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</si>
  <si>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</si>
  <si>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</si>
  <si>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</si>
  <si>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</si>
  <si>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</si>
  <si>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</si>
  <si>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</si>
  <si>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</si>
  <si>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</si>
  <si>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</si>
  <si>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</si>
  <si>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</si>
  <si>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</si>
  <si>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</si>
  <si>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</si>
  <si>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</si>
  <si>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</si>
  <si>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</si>
  <si>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</si>
  <si>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</si>
  <si>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</si>
  <si>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</si>
  <si>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</si>
  <si>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</si>
  <si>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</si>
  <si>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</si>
  <si>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</si>
  <si>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</si>
  <si>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</si>
  <si>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</si>
  <si>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</si>
  <si>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</si>
  <si>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</si>
  <si>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</si>
  <si>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</si>
  <si>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</si>
  <si>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</si>
  <si>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</si>
  <si>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</si>
  <si>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</si>
  <si>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</si>
  <si>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</si>
  <si>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</si>
  <si>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</si>
  <si>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</si>
  <si>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</si>
  <si>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</si>
  <si>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</si>
  <si>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</si>
  <si>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</si>
  <si>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</si>
  <si>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</si>
  <si>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</si>
  <si>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</si>
  <si>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</si>
  <si>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</si>
  <si>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</si>
  <si>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</si>
  <si>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</si>
  <si>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</si>
  <si>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</si>
  <si>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</si>
  <si>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</si>
  <si>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</si>
  <si>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</si>
  <si>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</si>
  <si>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</si>
  <si>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</si>
  <si>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</si>
  <si>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</si>
  <si>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</si>
  <si>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</si>
  <si>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</si>
  <si>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</si>
  <si>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</si>
  <si>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</si>
  <si>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</si>
  <si>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</si>
  <si>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</si>
  <si>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</si>
  <si>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</si>
  <si>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</si>
  <si>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</si>
  <si>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</si>
  <si>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</si>
  <si>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</si>
  <si>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</si>
  <si>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</si>
  <si>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</si>
  <si>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</si>
  <si>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</si>
  <si>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</si>
  <si>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</si>
  <si>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</si>
  <si>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</si>
  <si>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</si>
  <si>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</si>
  <si>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</si>
  <si>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</si>
  <si>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</si>
  <si>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</si>
  <si>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</si>
  <si>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</si>
  <si>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</si>
  <si>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</si>
  <si>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</si>
  <si>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</si>
  <si>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</si>
  <si>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</si>
  <si>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</si>
  <si>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</si>
  <si>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</si>
  <si>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</si>
  <si>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</si>
  <si>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</si>
  <si>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</si>
  <si>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</si>
  <si>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</si>
  <si>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</si>
  <si>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</si>
  <si>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</si>
  <si>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</si>
  <si>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</si>
  <si>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</si>
  <si>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</si>
  <si>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</si>
  <si>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</si>
  <si>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</si>
  <si>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</si>
  <si>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</si>
  <si>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</si>
  <si>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</si>
  <si>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</si>
  <si>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</si>
  <si>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</si>
  <si>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</si>
  <si>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</si>
  <si>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</si>
  <si>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</si>
  <si>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</si>
  <si>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</si>
  <si>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</si>
  <si>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</si>
  <si>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</si>
  <si>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</si>
  <si>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</si>
  <si>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</si>
  <si>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</si>
  <si>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</si>
  <si>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</si>
  <si>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</si>
  <si>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</si>
  <si>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</si>
  <si>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</si>
  <si>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</si>
  <si>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</si>
  <si>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</si>
  <si>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</si>
  <si>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</si>
  <si>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</si>
  <si>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</si>
  <si>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</si>
  <si>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</si>
  <si>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</si>
  <si>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</si>
  <si>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</si>
  <si>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</si>
  <si>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</si>
  <si>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</si>
  <si>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</si>
  <si>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</si>
  <si>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</si>
  <si>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</si>
  <si>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</si>
  <si>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</si>
  <si>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</si>
  <si>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</si>
  <si>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</si>
  <si>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</si>
  <si>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</si>
  <si>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</si>
  <si>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</si>
  <si>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</si>
  <si>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</si>
  <si>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</si>
  <si>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</si>
  <si>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</si>
  <si>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</si>
  <si>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</si>
  <si>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</si>
  <si>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</si>
  <si>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</si>
  <si>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</si>
  <si>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</si>
  <si>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</si>
  <si>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</si>
  <si>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</si>
  <si>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</si>
  <si>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</si>
  <si>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</si>
  <si>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</si>
  <si>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</si>
  <si>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</si>
  <si>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</si>
  <si>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</si>
  <si>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</si>
  <si>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</si>
  <si>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</si>
  <si>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</si>
  <si>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</si>
  <si>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</si>
  <si>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</si>
  <si>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</si>
  <si>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</si>
  <si>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</si>
  <si>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</si>
  <si>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</si>
  <si>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</si>
  <si>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</si>
  <si>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</si>
  <si>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</si>
  <si>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</si>
  <si>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</si>
  <si>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</si>
  <si>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</si>
  <si>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</si>
  <si>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</si>
  <si>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</si>
  <si>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</si>
  <si>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</si>
  <si>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</si>
  <si>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</si>
  <si>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</si>
  <si>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</si>
  <si>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</si>
  <si>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</si>
  <si>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</si>
  <si>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</si>
  <si>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</si>
  <si>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</si>
  <si>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</si>
  <si>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</si>
  <si>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</si>
  <si>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</si>
  <si>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</si>
  <si>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</si>
  <si>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</si>
  <si>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</si>
  <si>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</si>
  <si>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</si>
  <si>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</si>
  <si>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</si>
  <si>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</si>
  <si>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</si>
  <si>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</si>
  <si>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</si>
  <si>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</si>
  <si>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</si>
  <si>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</si>
  <si>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</si>
  <si>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</si>
  <si>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</si>
  <si>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08/02</t>
  </si>
  <si>
    <t>08/22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</si>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</sst>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191</v>
      </c>
      <c r="C2" s="21">
        <v>191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1215957.56</v>
      </c>
      <c r="G9" s="18">
        <v>81237.179999999993</v>
      </c>
      <c r="H9" s="18">
        <v>63695.64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63695.64</v>
      </c>
      <c r="G13" s="18">
        <v>26707.05</v>
      </c>
      <c r="H13" s="18"/>
      <c r="I13" s="18"/>
      <c r="J13" s="67">
        <f>SUM(I441)</f>
        <v>200892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1133089.0900000001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4523.05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2412742.29</v>
      </c>
      <c r="G19" s="41">
        <f>SUM(G9:G18)</f>
        <v>112467.28</v>
      </c>
      <c r="H19" s="41">
        <f>SUM(H9:H18)</f>
        <v>63695.64</v>
      </c>
      <c r="I19" s="41">
        <f>SUM(I9:I18)</f>
        <v>0</v>
      </c>
      <c r="J19" s="41">
        <f>SUM(J9:J18)</f>
        <v>200892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81063.91</v>
      </c>
      <c r="G23" s="18"/>
      <c r="H23" s="18">
        <v>63695.64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747335.54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107448</v>
      </c>
      <c r="G30" s="18">
        <v>9507.48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935847.45000000007</v>
      </c>
      <c r="G32" s="41">
        <f>SUM(G22:G31)</f>
        <v>9507.48</v>
      </c>
      <c r="H32" s="41">
        <f>SUM(H22:H31)</f>
        <v>63695.64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200892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102959.8</v>
      </c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1476894.84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1476894.84</v>
      </c>
      <c r="G50" s="41">
        <f>SUM(G35:G49)</f>
        <v>102959.8</v>
      </c>
      <c r="H50" s="41">
        <f>SUM(H35:H49)</f>
        <v>0</v>
      </c>
      <c r="I50" s="41">
        <f>SUM(I35:I49)</f>
        <v>0</v>
      </c>
      <c r="J50" s="41">
        <f>SUM(J35:J49)</f>
        <v>200892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2412742.29</v>
      </c>
      <c r="G51" s="41">
        <f>G50+G32</f>
        <v>112467.28</v>
      </c>
      <c r="H51" s="41">
        <f>H50+H32</f>
        <v>63695.64</v>
      </c>
      <c r="I51" s="41">
        <f>I50+I32</f>
        <v>0</v>
      </c>
      <c r="J51" s="41">
        <f>J50+J32</f>
        <v>200892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14049394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14049394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83094.73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41150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2594533.1800000002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2718777.91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7693.6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7693.6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2094.1799999999998</v>
      </c>
      <c r="G95" s="18"/>
      <c r="H95" s="18"/>
      <c r="I95" s="18"/>
      <c r="J95" s="18">
        <v>289.89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277296.08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10114.5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>
        <v>15519.32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95331.35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107540.03</v>
      </c>
      <c r="G110" s="41">
        <f>SUM(G95:G109)</f>
        <v>277296.08</v>
      </c>
      <c r="H110" s="41">
        <f>SUM(H95:H109)</f>
        <v>0</v>
      </c>
      <c r="I110" s="41">
        <f>SUM(I95:I109)</f>
        <v>0</v>
      </c>
      <c r="J110" s="41">
        <f>SUM(J95:J109)</f>
        <v>15809.21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16883405.539999999</v>
      </c>
      <c r="G111" s="41">
        <f>G59+G110</f>
        <v>277296.08</v>
      </c>
      <c r="H111" s="41">
        <f>H59+H78+H93+H110</f>
        <v>0</v>
      </c>
      <c r="I111" s="41">
        <f>I59+I110</f>
        <v>0</v>
      </c>
      <c r="J111" s="41">
        <f>J59+J110</f>
        <v>15809.21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624118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4079248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4703366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314593.78999999998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94832.21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6704.8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5443.73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416130.8</v>
      </c>
      <c r="G135" s="41">
        <f>SUM(G122:G134)</f>
        <v>5443.73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5119496.8</v>
      </c>
      <c r="G139" s="41">
        <f>G120+SUM(G135:G136)</f>
        <v>5443.73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280507.31</v>
      </c>
      <c r="I151" s="4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151600.60999999999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22730.95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138933.15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39521.35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39521.35</v>
      </c>
      <c r="G161" s="41">
        <f>SUM(G149:G160)</f>
        <v>138933.15</v>
      </c>
      <c r="H161" s="41">
        <f>SUM(H149:H160)</f>
        <v>454838.87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11200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39521.35</v>
      </c>
      <c r="G168" s="41">
        <f>G146+G161+SUM(G162:G167)</f>
        <v>138933.15</v>
      </c>
      <c r="H168" s="41">
        <f>H146+H161+SUM(H162:H167)</f>
        <v>466038.87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22042423.690000001</v>
      </c>
      <c r="G192" s="47">
        <f>G111+G139+G168+G191</f>
        <v>421672.95999999996</v>
      </c>
      <c r="H192" s="47">
        <f>H111+H139+H168+H191</f>
        <v>466038.87</v>
      </c>
      <c r="I192" s="47">
        <f>I111+I139+I168+I191</f>
        <v>0</v>
      </c>
      <c r="J192" s="47">
        <f>J111+J139+J191</f>
        <v>15809.21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1653951.69</v>
      </c>
      <c r="G196" s="18">
        <v>926181.06</v>
      </c>
      <c r="H196" s="18">
        <v>18372.68</v>
      </c>
      <c r="I196" s="18">
        <v>41449.47</v>
      </c>
      <c r="J196" s="18">
        <v>2439.12</v>
      </c>
      <c r="K196" s="18">
        <v>250</v>
      </c>
      <c r="L196" s="19">
        <f>SUM(F196:K196)</f>
        <v>2642644.0200000005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659193.86</v>
      </c>
      <c r="G197" s="18">
        <v>535416.35</v>
      </c>
      <c r="H197" s="18">
        <v>277758.5</v>
      </c>
      <c r="I197" s="18">
        <v>1748.27</v>
      </c>
      <c r="J197" s="18">
        <v>11309.16</v>
      </c>
      <c r="K197" s="18"/>
      <c r="L197" s="19">
        <f>SUM(F197:K197)</f>
        <v>1485426.14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79194.039999999994</v>
      </c>
      <c r="G199" s="18">
        <v>24378.09</v>
      </c>
      <c r="H199" s="18">
        <v>3300</v>
      </c>
      <c r="I199" s="18">
        <v>14640.92</v>
      </c>
      <c r="J199" s="18"/>
      <c r="K199" s="18"/>
      <c r="L199" s="19">
        <f>SUM(F199:K199)</f>
        <v>121513.04999999999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84678.45</v>
      </c>
      <c r="G201" s="18">
        <v>49186.84</v>
      </c>
      <c r="H201" s="18">
        <v>108294.78</v>
      </c>
      <c r="I201" s="18">
        <v>2302.0500000000002</v>
      </c>
      <c r="J201" s="18"/>
      <c r="K201" s="18"/>
      <c r="L201" s="19">
        <f t="shared" ref="L201:L207" si="0">SUM(F201:K201)</f>
        <v>244462.11999999997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123295.96</v>
      </c>
      <c r="G202" s="18">
        <v>76638.67</v>
      </c>
      <c r="H202" s="18">
        <v>39718.379999999997</v>
      </c>
      <c r="I202" s="18">
        <v>49698.86</v>
      </c>
      <c r="J202" s="18">
        <v>35215.51</v>
      </c>
      <c r="K202" s="18"/>
      <c r="L202" s="19">
        <f t="shared" si="0"/>
        <v>324567.38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49633.49</v>
      </c>
      <c r="G203" s="18">
        <v>19077.34</v>
      </c>
      <c r="H203" s="18">
        <v>11203.61</v>
      </c>
      <c r="I203" s="18"/>
      <c r="J203" s="18"/>
      <c r="K203" s="18">
        <v>3195.63</v>
      </c>
      <c r="L203" s="19">
        <f t="shared" si="0"/>
        <v>83110.070000000007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201665.81</v>
      </c>
      <c r="G204" s="18">
        <v>92234.34</v>
      </c>
      <c r="H204" s="18">
        <v>16793.560000000001</v>
      </c>
      <c r="I204" s="18">
        <v>1483.73</v>
      </c>
      <c r="J204" s="18"/>
      <c r="K204" s="18">
        <v>905.39</v>
      </c>
      <c r="L204" s="19">
        <f t="shared" si="0"/>
        <v>313082.83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54571.31</v>
      </c>
      <c r="G205" s="18">
        <v>20527.669999999998</v>
      </c>
      <c r="H205" s="18">
        <v>33999.97</v>
      </c>
      <c r="I205" s="18">
        <v>1658.02</v>
      </c>
      <c r="J205" s="18"/>
      <c r="K205" s="18">
        <v>1352.45</v>
      </c>
      <c r="L205" s="19">
        <f t="shared" si="0"/>
        <v>112109.42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200409.9</v>
      </c>
      <c r="G206" s="18">
        <v>125321.02</v>
      </c>
      <c r="H206" s="18">
        <v>182499.92</v>
      </c>
      <c r="I206" s="18">
        <v>145158.56</v>
      </c>
      <c r="J206" s="18">
        <v>833.26</v>
      </c>
      <c r="K206" s="18"/>
      <c r="L206" s="19">
        <f t="shared" si="0"/>
        <v>654222.65999999992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164430.18</v>
      </c>
      <c r="I207" s="18"/>
      <c r="J207" s="18"/>
      <c r="K207" s="18"/>
      <c r="L207" s="19">
        <f t="shared" si="0"/>
        <v>164430.18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3106594.5100000002</v>
      </c>
      <c r="G210" s="41">
        <f t="shared" si="1"/>
        <v>1868961.3800000004</v>
      </c>
      <c r="H210" s="41">
        <f t="shared" si="1"/>
        <v>856371.58000000007</v>
      </c>
      <c r="I210" s="41">
        <f t="shared" si="1"/>
        <v>258139.88</v>
      </c>
      <c r="J210" s="41">
        <f t="shared" si="1"/>
        <v>49797.05</v>
      </c>
      <c r="K210" s="41">
        <f t="shared" si="1"/>
        <v>5703.47</v>
      </c>
      <c r="L210" s="41">
        <f t="shared" si="1"/>
        <v>6145567.8700000001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1518136.92</v>
      </c>
      <c r="G214" s="18">
        <v>863439.17</v>
      </c>
      <c r="H214" s="18">
        <v>20339.560000000001</v>
      </c>
      <c r="I214" s="18">
        <v>44451.95</v>
      </c>
      <c r="J214" s="18">
        <v>7227.48</v>
      </c>
      <c r="K214" s="18"/>
      <c r="L214" s="19">
        <f>SUM(F214:K214)</f>
        <v>2453595.08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507846.32</v>
      </c>
      <c r="G215" s="18">
        <v>457263.93</v>
      </c>
      <c r="H215" s="18">
        <v>148715.03</v>
      </c>
      <c r="I215" s="18">
        <v>1246.95</v>
      </c>
      <c r="J215" s="18">
        <v>1781.96</v>
      </c>
      <c r="K215" s="18"/>
      <c r="L215" s="19">
        <f>SUM(F215:K215)</f>
        <v>1116854.19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42332.5</v>
      </c>
      <c r="G217" s="18">
        <v>11695.21</v>
      </c>
      <c r="H217" s="18">
        <v>12105</v>
      </c>
      <c r="I217" s="18">
        <v>8597.33</v>
      </c>
      <c r="J217" s="18">
        <v>500</v>
      </c>
      <c r="K217" s="18"/>
      <c r="L217" s="19">
        <f>SUM(F217:K217)</f>
        <v>75230.039999999994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127106.1</v>
      </c>
      <c r="G219" s="18">
        <v>71593.41</v>
      </c>
      <c r="H219" s="18">
        <v>53283.07</v>
      </c>
      <c r="I219" s="18">
        <v>1597.96</v>
      </c>
      <c r="J219" s="18"/>
      <c r="K219" s="18"/>
      <c r="L219" s="19">
        <f t="shared" ref="L219:L225" si="2">SUM(F219:K219)</f>
        <v>253580.54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120272.09</v>
      </c>
      <c r="G220" s="18">
        <v>84375.67</v>
      </c>
      <c r="H220" s="18">
        <v>47669.68</v>
      </c>
      <c r="I220" s="18">
        <v>50314.31</v>
      </c>
      <c r="J220" s="18">
        <v>33400.449999999997</v>
      </c>
      <c r="K220" s="18"/>
      <c r="L220" s="19">
        <f t="shared" si="2"/>
        <v>336032.2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46431.32</v>
      </c>
      <c r="G221" s="18">
        <v>19077.34</v>
      </c>
      <c r="H221" s="18">
        <v>10480.799999999999</v>
      </c>
      <c r="I221" s="18"/>
      <c r="J221" s="18"/>
      <c r="K221" s="18">
        <v>2989.46</v>
      </c>
      <c r="L221" s="19">
        <f t="shared" si="2"/>
        <v>78978.920000000013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293572.84000000003</v>
      </c>
      <c r="G222" s="18">
        <v>122793.34</v>
      </c>
      <c r="H222" s="18">
        <v>18294.7</v>
      </c>
      <c r="I222" s="18"/>
      <c r="J222" s="18"/>
      <c r="K222" s="18">
        <v>2859.39</v>
      </c>
      <c r="L222" s="19">
        <f t="shared" si="2"/>
        <v>437520.27000000008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51050.58</v>
      </c>
      <c r="G223" s="18">
        <v>20527.669999999998</v>
      </c>
      <c r="H223" s="18">
        <v>31806.42</v>
      </c>
      <c r="I223" s="18">
        <v>1551.05</v>
      </c>
      <c r="J223" s="18"/>
      <c r="K223" s="18">
        <v>1265.2</v>
      </c>
      <c r="L223" s="19">
        <f t="shared" si="2"/>
        <v>106200.92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187825.33</v>
      </c>
      <c r="G224" s="18">
        <v>126466.01</v>
      </c>
      <c r="H224" s="18">
        <v>154291.62</v>
      </c>
      <c r="I224" s="18">
        <v>217417.27</v>
      </c>
      <c r="J224" s="18">
        <v>671.45</v>
      </c>
      <c r="K224" s="18"/>
      <c r="L224" s="19">
        <f t="shared" si="2"/>
        <v>686671.67999999993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159446.49</v>
      </c>
      <c r="I225" s="18"/>
      <c r="J225" s="18"/>
      <c r="K225" s="18"/>
      <c r="L225" s="19">
        <f t="shared" si="2"/>
        <v>159446.49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2894573.9999999995</v>
      </c>
      <c r="G228" s="41">
        <f>SUM(G214:G227)</f>
        <v>1777231.75</v>
      </c>
      <c r="H228" s="41">
        <f>SUM(H214:H227)</f>
        <v>656432.37</v>
      </c>
      <c r="I228" s="41">
        <f>SUM(I214:I227)</f>
        <v>325176.82</v>
      </c>
      <c r="J228" s="41">
        <f>SUM(J214:J227)</f>
        <v>43581.34</v>
      </c>
      <c r="K228" s="41">
        <f t="shared" si="3"/>
        <v>7114.05</v>
      </c>
      <c r="L228" s="41">
        <f t="shared" si="3"/>
        <v>5704110.3300000001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2536155.8199999998</v>
      </c>
      <c r="G232" s="18">
        <v>1231747.17</v>
      </c>
      <c r="H232" s="18">
        <v>34608.33</v>
      </c>
      <c r="I232" s="18">
        <v>86727.48</v>
      </c>
      <c r="J232" s="18">
        <v>29060.01</v>
      </c>
      <c r="K232" s="18"/>
      <c r="L232" s="19">
        <f>SUM(F232:K232)</f>
        <v>3918298.8099999996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449804.08</v>
      </c>
      <c r="G233" s="18">
        <v>352853.35</v>
      </c>
      <c r="H233" s="18">
        <v>345248.06</v>
      </c>
      <c r="I233" s="18">
        <v>1698.83</v>
      </c>
      <c r="J233" s="18">
        <v>499.77</v>
      </c>
      <c r="K233" s="18"/>
      <c r="L233" s="19">
        <f>SUM(F233:K233)</f>
        <v>1150104.0900000001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96156.37</v>
      </c>
      <c r="I234" s="18"/>
      <c r="J234" s="18"/>
      <c r="K234" s="18"/>
      <c r="L234" s="19">
        <f>SUM(F234:K234)</f>
        <v>96156.37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147490.5</v>
      </c>
      <c r="G235" s="18">
        <v>65920.259999999995</v>
      </c>
      <c r="H235" s="18">
        <v>54118</v>
      </c>
      <c r="I235" s="18">
        <v>47107.42</v>
      </c>
      <c r="J235" s="18">
        <v>945</v>
      </c>
      <c r="K235" s="18"/>
      <c r="L235" s="19">
        <f>SUM(F235:K235)</f>
        <v>315581.18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286316.57</v>
      </c>
      <c r="G237" s="18">
        <v>123236.16</v>
      </c>
      <c r="H237" s="18">
        <v>44336.83</v>
      </c>
      <c r="I237" s="18">
        <v>5048.53</v>
      </c>
      <c r="J237" s="18">
        <v>404.4</v>
      </c>
      <c r="K237" s="18"/>
      <c r="L237" s="19">
        <f t="shared" ref="L237:L243" si="4">SUM(F237:K237)</f>
        <v>459342.49000000005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143264.76999999999</v>
      </c>
      <c r="G238" s="18">
        <v>63113.67</v>
      </c>
      <c r="H238" s="18">
        <v>58244.92</v>
      </c>
      <c r="I238" s="18">
        <v>56276.23</v>
      </c>
      <c r="J238" s="18">
        <v>60238.79</v>
      </c>
      <c r="K238" s="18"/>
      <c r="L238" s="19">
        <f t="shared" si="4"/>
        <v>381138.37999999995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64043.21</v>
      </c>
      <c r="G239" s="18">
        <v>19077.34</v>
      </c>
      <c r="H239" s="18">
        <v>14456.27</v>
      </c>
      <c r="I239" s="18"/>
      <c r="J239" s="18"/>
      <c r="K239" s="18">
        <v>4123.3999999999996</v>
      </c>
      <c r="L239" s="19">
        <f t="shared" si="4"/>
        <v>101700.22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412251.63</v>
      </c>
      <c r="G240" s="18">
        <v>212542.67</v>
      </c>
      <c r="H240" s="18">
        <v>49479.37</v>
      </c>
      <c r="I240" s="18">
        <v>1908.26</v>
      </c>
      <c r="J240" s="18"/>
      <c r="K240" s="18">
        <v>18284.689999999999</v>
      </c>
      <c r="L240" s="19">
        <f t="shared" si="4"/>
        <v>694466.62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70414.600000000006</v>
      </c>
      <c r="G241" s="18">
        <v>20527.669999999998</v>
      </c>
      <c r="H241" s="18">
        <v>43870.94</v>
      </c>
      <c r="I241" s="18">
        <v>2139.38</v>
      </c>
      <c r="J241" s="18"/>
      <c r="K241" s="18">
        <v>1745.1</v>
      </c>
      <c r="L241" s="19">
        <f t="shared" si="4"/>
        <v>138697.69000000003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316242.06</v>
      </c>
      <c r="G242" s="18">
        <v>201659.01</v>
      </c>
      <c r="H242" s="18">
        <v>238443.27</v>
      </c>
      <c r="I242" s="18">
        <v>300654.33</v>
      </c>
      <c r="J242" s="18">
        <v>1616.03</v>
      </c>
      <c r="K242" s="18"/>
      <c r="L242" s="19">
        <f t="shared" si="4"/>
        <v>1058614.7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247636.27</v>
      </c>
      <c r="I243" s="18"/>
      <c r="J243" s="18"/>
      <c r="K243" s="18"/>
      <c r="L243" s="19">
        <f t="shared" si="4"/>
        <v>247636.27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4425983.2399999993</v>
      </c>
      <c r="G246" s="41">
        <f t="shared" si="5"/>
        <v>2290677.2999999998</v>
      </c>
      <c r="H246" s="41">
        <f t="shared" si="5"/>
        <v>1226598.6300000001</v>
      </c>
      <c r="I246" s="41">
        <f t="shared" si="5"/>
        <v>501560.46</v>
      </c>
      <c r="J246" s="41">
        <f t="shared" si="5"/>
        <v>92764</v>
      </c>
      <c r="K246" s="41">
        <f t="shared" si="5"/>
        <v>24153.189999999995</v>
      </c>
      <c r="L246" s="41">
        <f t="shared" si="5"/>
        <v>8561736.8200000003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10427151.75</v>
      </c>
      <c r="G256" s="41">
        <f t="shared" si="8"/>
        <v>5936870.4299999997</v>
      </c>
      <c r="H256" s="41">
        <f t="shared" si="8"/>
        <v>2739402.58</v>
      </c>
      <c r="I256" s="41">
        <f t="shared" si="8"/>
        <v>1084877.1599999999</v>
      </c>
      <c r="J256" s="41">
        <f t="shared" si="8"/>
        <v>186142.39</v>
      </c>
      <c r="K256" s="41">
        <f t="shared" si="8"/>
        <v>36970.709999999992</v>
      </c>
      <c r="L256" s="41">
        <f t="shared" si="8"/>
        <v>20411415.02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850000</v>
      </c>
      <c r="L259" s="19">
        <f>SUM(F259:K259)</f>
        <v>850000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381779</v>
      </c>
      <c r="L260" s="19">
        <f>SUM(F260:K260)</f>
        <v>381779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1231779</v>
      </c>
      <c r="L269" s="41">
        <f t="shared" si="9"/>
        <v>1231779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10427151.75</v>
      </c>
      <c r="G270" s="42">
        <f t="shared" si="11"/>
        <v>5936870.4299999997</v>
      </c>
      <c r="H270" s="42">
        <f t="shared" si="11"/>
        <v>2739402.58</v>
      </c>
      <c r="I270" s="42">
        <f t="shared" si="11"/>
        <v>1084877.1599999999</v>
      </c>
      <c r="J270" s="42">
        <f t="shared" si="11"/>
        <v>186142.39</v>
      </c>
      <c r="K270" s="42">
        <f t="shared" si="11"/>
        <v>1268749.71</v>
      </c>
      <c r="L270" s="42">
        <f t="shared" si="11"/>
        <v>21643194.02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123495.62</v>
      </c>
      <c r="G275" s="18"/>
      <c r="H275" s="4">
        <v>5974.39</v>
      </c>
      <c r="I275" s="4">
        <v>5602.78</v>
      </c>
      <c r="J275" s="4">
        <v>7783.29</v>
      </c>
      <c r="K275" s="18"/>
      <c r="L275" s="19">
        <f>SUM(F275:K275)</f>
        <v>142856.08000000002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4">
        <v>34713.730000000003</v>
      </c>
      <c r="G276" s="4">
        <v>6609.57</v>
      </c>
      <c r="H276" s="4"/>
      <c r="I276" s="18"/>
      <c r="J276" s="18"/>
      <c r="K276" s="18"/>
      <c r="L276" s="19">
        <f>SUM(F276:K276)</f>
        <v>41323.300000000003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34659.53</v>
      </c>
      <c r="I280" s="18"/>
      <c r="J280" s="18"/>
      <c r="K280" s="18"/>
      <c r="L280" s="19">
        <f t="shared" ref="L280:L286" si="12">SUM(F280:K280)</f>
        <v>34659.53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4">
        <v>4089</v>
      </c>
      <c r="G281" s="4"/>
      <c r="H281" s="4">
        <v>2569.4</v>
      </c>
      <c r="I281" s="18"/>
      <c r="J281" s="18">
        <v>9999.64</v>
      </c>
      <c r="K281" s="18"/>
      <c r="L281" s="19">
        <f t="shared" si="12"/>
        <v>16658.04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4637.7</v>
      </c>
      <c r="I286" s="18"/>
      <c r="J286" s="18"/>
      <c r="K286" s="18"/>
      <c r="L286" s="19">
        <f t="shared" si="12"/>
        <v>4637.7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162298.35</v>
      </c>
      <c r="G289" s="42">
        <f t="shared" si="13"/>
        <v>6609.57</v>
      </c>
      <c r="H289" s="42">
        <f t="shared" si="13"/>
        <v>47841.02</v>
      </c>
      <c r="I289" s="42">
        <f t="shared" si="13"/>
        <v>5602.78</v>
      </c>
      <c r="J289" s="42">
        <f t="shared" si="13"/>
        <v>17782.93</v>
      </c>
      <c r="K289" s="42">
        <f t="shared" si="13"/>
        <v>0</v>
      </c>
      <c r="L289" s="41">
        <f t="shared" si="13"/>
        <v>240134.65000000002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548.79999999999995</v>
      </c>
      <c r="I294" s="18">
        <v>3421.87</v>
      </c>
      <c r="J294" s="18">
        <v>5101.6000000000004</v>
      </c>
      <c r="K294" s="18"/>
      <c r="L294" s="19">
        <f>SUM(F294:K294)</f>
        <v>9072.27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33516.71</v>
      </c>
      <c r="G295" s="18">
        <v>6381.66</v>
      </c>
      <c r="H295" s="18"/>
      <c r="I295" s="18"/>
      <c r="J295" s="18"/>
      <c r="K295" s="18"/>
      <c r="L295" s="19">
        <f>SUM(F295:K295)</f>
        <v>39898.369999999995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33510.949999999997</v>
      </c>
      <c r="I299" s="18"/>
      <c r="J299" s="18"/>
      <c r="K299" s="18">
        <v>1803.47</v>
      </c>
      <c r="L299" s="19">
        <f t="shared" ref="L299:L305" si="14">SUM(F299:K299)</f>
        <v>35314.42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3948</v>
      </c>
      <c r="G300" s="18"/>
      <c r="H300" s="18">
        <v>2480.8000000000002</v>
      </c>
      <c r="I300" s="18"/>
      <c r="J300" s="18"/>
      <c r="K300" s="18"/>
      <c r="L300" s="19">
        <f t="shared" si="14"/>
        <v>6428.8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37464.71</v>
      </c>
      <c r="G308" s="42">
        <f t="shared" si="15"/>
        <v>6381.66</v>
      </c>
      <c r="H308" s="42">
        <f t="shared" si="15"/>
        <v>36540.550000000003</v>
      </c>
      <c r="I308" s="42">
        <f t="shared" si="15"/>
        <v>3421.87</v>
      </c>
      <c r="J308" s="42">
        <f t="shared" si="15"/>
        <v>5101.6000000000004</v>
      </c>
      <c r="K308" s="42">
        <f t="shared" si="15"/>
        <v>1803.47</v>
      </c>
      <c r="L308" s="41">
        <f t="shared" si="15"/>
        <v>90713.86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842.8</v>
      </c>
      <c r="I313" s="18">
        <v>4628.1000000000004</v>
      </c>
      <c r="J313" s="18">
        <v>7834.6</v>
      </c>
      <c r="K313" s="18"/>
      <c r="L313" s="19">
        <f>SUM(F313:K313)</f>
        <v>13305.5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51472.09</v>
      </c>
      <c r="G314" s="18">
        <v>9800.4</v>
      </c>
      <c r="H314" s="18">
        <v>50739.57</v>
      </c>
      <c r="I314" s="18"/>
      <c r="J314" s="18"/>
      <c r="K314" s="18"/>
      <c r="L314" s="19">
        <f>SUM(F314:K314)</f>
        <v>112012.06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6063</v>
      </c>
      <c r="G319" s="18"/>
      <c r="H319" s="18">
        <v>3809.8</v>
      </c>
      <c r="I319" s="18"/>
      <c r="J319" s="18"/>
      <c r="K319" s="18"/>
      <c r="L319" s="19">
        <f>SUM(F319:K319)</f>
        <v>9872.7999999999993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57535.09</v>
      </c>
      <c r="G327" s="42">
        <f t="shared" si="17"/>
        <v>9800.4</v>
      </c>
      <c r="H327" s="42">
        <f>SUM(H313:H326)</f>
        <v>55392.170000000006</v>
      </c>
      <c r="I327" s="42">
        <f>SUM(I313:I326)</f>
        <v>4628.1000000000004</v>
      </c>
      <c r="J327" s="42">
        <f>SUM(J313:J326)</f>
        <v>7834.6</v>
      </c>
      <c r="K327" s="42">
        <f t="shared" si="17"/>
        <v>0</v>
      </c>
      <c r="L327" s="41">
        <f t="shared" si="17"/>
        <v>135190.35999999999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257298.15</v>
      </c>
      <c r="G337" s="41">
        <f t="shared" si="20"/>
        <v>22791.629999999997</v>
      </c>
      <c r="H337" s="41">
        <f t="shared" si="20"/>
        <v>139773.74000000002</v>
      </c>
      <c r="I337" s="41">
        <f t="shared" si="20"/>
        <v>13652.75</v>
      </c>
      <c r="J337" s="41">
        <f t="shared" si="20"/>
        <v>30719.129999999997</v>
      </c>
      <c r="K337" s="41">
        <f t="shared" si="20"/>
        <v>1803.47</v>
      </c>
      <c r="L337" s="41">
        <f t="shared" si="20"/>
        <v>466038.87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257298.15</v>
      </c>
      <c r="G351" s="41">
        <f>G337</f>
        <v>22791.629999999997</v>
      </c>
      <c r="H351" s="41">
        <f>H337</f>
        <v>139773.74000000002</v>
      </c>
      <c r="I351" s="41">
        <f>I337</f>
        <v>13652.75</v>
      </c>
      <c r="J351" s="41">
        <f>J337</f>
        <v>30719.129999999997</v>
      </c>
      <c r="K351" s="47">
        <f>K337+K350</f>
        <v>1803.47</v>
      </c>
      <c r="L351" s="41">
        <f>L337+L350</f>
        <v>466038.87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69009.77</v>
      </c>
      <c r="G357" s="18">
        <v>9559.56</v>
      </c>
      <c r="H357" s="18">
        <v>1404.5</v>
      </c>
      <c r="I357" s="18">
        <v>37028.29</v>
      </c>
      <c r="J357" s="18"/>
      <c r="K357" s="18"/>
      <c r="L357" s="13">
        <f>SUM(F357:K357)</f>
        <v>117002.12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56663.78</v>
      </c>
      <c r="G358" s="18">
        <v>9273.92</v>
      </c>
      <c r="H358" s="18">
        <v>1778.92</v>
      </c>
      <c r="I358" s="18">
        <v>53044.87</v>
      </c>
      <c r="J358" s="18"/>
      <c r="K358" s="18"/>
      <c r="L358" s="19">
        <f>SUM(F358:K358)</f>
        <v>120761.48999999999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85590.67</v>
      </c>
      <c r="G359" s="18">
        <v>14174.52</v>
      </c>
      <c r="H359" s="18">
        <v>2456.6</v>
      </c>
      <c r="I359" s="18">
        <v>79567.3</v>
      </c>
      <c r="J359" s="18"/>
      <c r="K359" s="18"/>
      <c r="L359" s="19">
        <f>SUM(F359:K359)</f>
        <v>181789.09000000003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211264.22</v>
      </c>
      <c r="G361" s="47">
        <f t="shared" si="22"/>
        <v>33008</v>
      </c>
      <c r="H361" s="47">
        <f t="shared" si="22"/>
        <v>5640.02</v>
      </c>
      <c r="I361" s="47">
        <f t="shared" si="22"/>
        <v>169640.46000000002</v>
      </c>
      <c r="J361" s="47">
        <f t="shared" si="22"/>
        <v>0</v>
      </c>
      <c r="K361" s="47">
        <f t="shared" si="22"/>
        <v>0</v>
      </c>
      <c r="L361" s="47">
        <f t="shared" si="22"/>
        <v>419552.7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34364.57</v>
      </c>
      <c r="G366" s="18">
        <v>47817.58</v>
      </c>
      <c r="H366" s="18">
        <v>71726.37</v>
      </c>
      <c r="I366" s="56">
        <f>SUM(F366:H366)</f>
        <v>153908.51999999999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2663.72</v>
      </c>
      <c r="G367" s="63">
        <v>5227.29</v>
      </c>
      <c r="H367" s="63">
        <v>7840.93</v>
      </c>
      <c r="I367" s="56">
        <f>SUM(F367:H367)</f>
        <v>15731.94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37028.29</v>
      </c>
      <c r="G368" s="47">
        <f>SUM(G366:G367)</f>
        <v>53044.87</v>
      </c>
      <c r="H368" s="47">
        <f>SUM(H366:H367)</f>
        <v>79567.299999999988</v>
      </c>
      <c r="I368" s="47">
        <f>SUM(I366:I367)</f>
        <v>169640.46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2.97</v>
      </c>
      <c r="I391" s="18">
        <v>15519.32</v>
      </c>
      <c r="J391" s="24" t="s">
        <v>289</v>
      </c>
      <c r="K391" s="24" t="s">
        <v>289</v>
      </c>
      <c r="L391" s="56">
        <f t="shared" si="25"/>
        <v>15522.289999999999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2.97</v>
      </c>
      <c r="I392" s="65">
        <f>SUM(I386:I391)</f>
        <v>15519.32</v>
      </c>
      <c r="J392" s="45" t="s">
        <v>289</v>
      </c>
      <c r="K392" s="45" t="s">
        <v>289</v>
      </c>
      <c r="L392" s="47">
        <f>SUM(L386:L391)</f>
        <v>15522.289999999999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286.92</v>
      </c>
      <c r="I396" s="18"/>
      <c r="J396" s="24" t="s">
        <v>289</v>
      </c>
      <c r="K396" s="24" t="s">
        <v>289</v>
      </c>
      <c r="L396" s="56">
        <f t="shared" si="26"/>
        <v>286.92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286.92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286.92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289.89000000000004</v>
      </c>
      <c r="I407" s="47">
        <f>I392+I400+I406</f>
        <v>15519.32</v>
      </c>
      <c r="J407" s="24" t="s">
        <v>289</v>
      </c>
      <c r="K407" s="24" t="s">
        <v>289</v>
      </c>
      <c r="L407" s="47">
        <f>L392+L400+L406</f>
        <v>15809.21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17809.68</v>
      </c>
      <c r="G441" s="18">
        <v>183082.32</v>
      </c>
      <c r="H441" s="18"/>
      <c r="I441" s="56">
        <f t="shared" si="33"/>
        <v>200892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17809.68</v>
      </c>
      <c r="G445" s="13">
        <f>SUM(G438:G444)</f>
        <v>183082.32</v>
      </c>
      <c r="H445" s="13">
        <f>SUM(H438:H444)</f>
        <v>0</v>
      </c>
      <c r="I445" s="13">
        <f>SUM(I438:I444)</f>
        <v>200892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17809.68</v>
      </c>
      <c r="G455" s="18">
        <v>183082.32</v>
      </c>
      <c r="H455" s="18"/>
      <c r="I455" s="56">
        <f t="shared" si="34"/>
        <v>200892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17809.68</v>
      </c>
      <c r="G459" s="83">
        <f>SUM(G453:G458)</f>
        <v>183082.32</v>
      </c>
      <c r="H459" s="83">
        <f>SUM(H453:H458)</f>
        <v>0</v>
      </c>
      <c r="I459" s="83">
        <f>SUM(I453:I458)</f>
        <v>200892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17809.68</v>
      </c>
      <c r="G460" s="42">
        <f>G451+G459</f>
        <v>183082.32</v>
      </c>
      <c r="H460" s="42">
        <f>H451+H459</f>
        <v>0</v>
      </c>
      <c r="I460" s="42">
        <f>I451+I459</f>
        <v>200892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1077665.17</v>
      </c>
      <c r="G464" s="18">
        <v>100839.54</v>
      </c>
      <c r="H464" s="18">
        <v>0</v>
      </c>
      <c r="I464" s="18">
        <v>0</v>
      </c>
      <c r="J464" s="18">
        <v>185082.79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22042423.690000001</v>
      </c>
      <c r="G467" s="18">
        <v>421672.96000000002</v>
      </c>
      <c r="H467" s="18">
        <v>466038.87</v>
      </c>
      <c r="I467" s="18"/>
      <c r="J467" s="18">
        <v>15809.21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22042423.690000001</v>
      </c>
      <c r="G469" s="53">
        <f>SUM(G467:G468)</f>
        <v>421672.96000000002</v>
      </c>
      <c r="H469" s="53">
        <f>SUM(H467:H468)</f>
        <v>466038.87</v>
      </c>
      <c r="I469" s="53">
        <f>SUM(I467:I468)</f>
        <v>0</v>
      </c>
      <c r="J469" s="53">
        <f>SUM(J467:J468)</f>
        <v>15809.21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21643194.02</v>
      </c>
      <c r="G471" s="18">
        <v>419552.7</v>
      </c>
      <c r="H471" s="18">
        <v>466038.87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21643194.02</v>
      </c>
      <c r="G473" s="53">
        <f>SUM(G471:G472)</f>
        <v>419552.7</v>
      </c>
      <c r="H473" s="53">
        <f>SUM(H471:H472)</f>
        <v>466038.87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1476894.8399999999</v>
      </c>
      <c r="G475" s="53">
        <f>(G464+G469)- G473</f>
        <v>102959.79999999999</v>
      </c>
      <c r="H475" s="53">
        <f>(H464+H469)- H473</f>
        <v>0</v>
      </c>
      <c r="I475" s="53">
        <f>(I464+I469)- I473</f>
        <v>0</v>
      </c>
      <c r="J475" s="53">
        <f>(J464+J469)- J473</f>
        <v>200892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16997033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4.45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9345000</v>
      </c>
      <c r="G494" s="18"/>
      <c r="H494" s="18"/>
      <c r="I494" s="18"/>
      <c r="J494" s="18"/>
      <c r="K494" s="53">
        <f>SUM(F494:J494)</f>
        <v>9345000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850000</v>
      </c>
      <c r="G496" s="18"/>
      <c r="H496" s="18"/>
      <c r="I496" s="18"/>
      <c r="J496" s="18"/>
      <c r="K496" s="53">
        <f t="shared" si="35"/>
        <v>850000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8495000</v>
      </c>
      <c r="G497" s="204"/>
      <c r="H497" s="204"/>
      <c r="I497" s="204"/>
      <c r="J497" s="204"/>
      <c r="K497" s="205">
        <f t="shared" si="35"/>
        <v>8495000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1871049.5</v>
      </c>
      <c r="G498" s="18"/>
      <c r="H498" s="18"/>
      <c r="I498" s="18"/>
      <c r="J498" s="18"/>
      <c r="K498" s="53">
        <f t="shared" si="35"/>
        <v>1871049.5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10366049.5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10366049.5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850000</v>
      </c>
      <c r="G500" s="204"/>
      <c r="H500" s="204"/>
      <c r="I500" s="204"/>
      <c r="J500" s="204"/>
      <c r="K500" s="205">
        <f t="shared" si="35"/>
        <v>850000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347354</v>
      </c>
      <c r="G501" s="18"/>
      <c r="H501" s="18"/>
      <c r="I501" s="18"/>
      <c r="J501" s="18"/>
      <c r="K501" s="53">
        <f t="shared" si="35"/>
        <v>347354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1197354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1197354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693907.59</v>
      </c>
      <c r="G520" s="18">
        <v>542025.92000000004</v>
      </c>
      <c r="H520" s="18">
        <v>277758.5</v>
      </c>
      <c r="I520" s="18">
        <v>1748.27</v>
      </c>
      <c r="J520" s="18">
        <v>11309.16</v>
      </c>
      <c r="K520" s="18"/>
      <c r="L520" s="88">
        <f>SUM(F520:K520)</f>
        <v>1526749.44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541363.03</v>
      </c>
      <c r="G521" s="18">
        <v>463645.59</v>
      </c>
      <c r="H521" s="18">
        <v>148715.03</v>
      </c>
      <c r="I521" s="18">
        <v>1246.95</v>
      </c>
      <c r="J521" s="18">
        <v>1781.96</v>
      </c>
      <c r="K521" s="18"/>
      <c r="L521" s="88">
        <f>SUM(F521:K521)</f>
        <v>1156752.56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501276.17</v>
      </c>
      <c r="G522" s="18">
        <v>362653.75</v>
      </c>
      <c r="H522" s="18">
        <v>395987.63</v>
      </c>
      <c r="I522" s="18">
        <v>1698.83</v>
      </c>
      <c r="J522" s="18">
        <v>499.77</v>
      </c>
      <c r="K522" s="18"/>
      <c r="L522" s="88">
        <f>SUM(F522:K522)</f>
        <v>1262116.1499999999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1736546.79</v>
      </c>
      <c r="G523" s="108">
        <f t="shared" ref="G523:L523" si="36">SUM(G520:G522)</f>
        <v>1368325.26</v>
      </c>
      <c r="H523" s="108">
        <f t="shared" si="36"/>
        <v>822461.16</v>
      </c>
      <c r="I523" s="108">
        <f t="shared" si="36"/>
        <v>4694.05</v>
      </c>
      <c r="J523" s="108">
        <f t="shared" si="36"/>
        <v>13590.89</v>
      </c>
      <c r="K523" s="108">
        <f t="shared" si="36"/>
        <v>0</v>
      </c>
      <c r="L523" s="89">
        <f t="shared" si="36"/>
        <v>3945618.15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108294.78</v>
      </c>
      <c r="I525" s="18">
        <v>414.5</v>
      </c>
      <c r="J525" s="18"/>
      <c r="K525" s="18"/>
      <c r="L525" s="88">
        <f>SUM(F525:K525)</f>
        <v>108709.28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53283.07</v>
      </c>
      <c r="I526" s="18">
        <v>307.5</v>
      </c>
      <c r="J526" s="18"/>
      <c r="K526" s="18"/>
      <c r="L526" s="88">
        <f>SUM(F526:K526)</f>
        <v>53590.57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41794.83</v>
      </c>
      <c r="I527" s="18">
        <v>532.67999999999995</v>
      </c>
      <c r="J527" s="18"/>
      <c r="K527" s="18"/>
      <c r="L527" s="88">
        <f>SUM(F527:K527)</f>
        <v>42327.51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203372.68</v>
      </c>
      <c r="I528" s="89">
        <f t="shared" si="37"/>
        <v>1254.6799999999998</v>
      </c>
      <c r="J528" s="89">
        <f t="shared" si="37"/>
        <v>0</v>
      </c>
      <c r="K528" s="89">
        <f t="shared" si="37"/>
        <v>0</v>
      </c>
      <c r="L528" s="89">
        <f t="shared" si="37"/>
        <v>204627.36000000002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40167.32</v>
      </c>
      <c r="G530" s="18">
        <v>13425.84</v>
      </c>
      <c r="H530" s="18"/>
      <c r="I530" s="18"/>
      <c r="J530" s="18"/>
      <c r="K530" s="18"/>
      <c r="L530" s="88">
        <f>SUM(F530:K530)</f>
        <v>53593.16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38782.239999999998</v>
      </c>
      <c r="G531" s="18">
        <v>12962.88</v>
      </c>
      <c r="H531" s="18"/>
      <c r="I531" s="18"/>
      <c r="J531" s="18"/>
      <c r="K531" s="18"/>
      <c r="L531" s="88">
        <f>SUM(F531:K531)</f>
        <v>51745.119999999995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59558.44</v>
      </c>
      <c r="G532" s="18">
        <v>19907.28</v>
      </c>
      <c r="H532" s="18"/>
      <c r="I532" s="18"/>
      <c r="J532" s="18"/>
      <c r="K532" s="18"/>
      <c r="L532" s="88">
        <f>SUM(F532:K532)</f>
        <v>79465.72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138508</v>
      </c>
      <c r="G533" s="89">
        <f t="shared" ref="G533:L533" si="38">SUM(G530:G532)</f>
        <v>46296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184804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306.47000000000003</v>
      </c>
      <c r="I535" s="18"/>
      <c r="J535" s="18"/>
      <c r="K535" s="18"/>
      <c r="L535" s="88">
        <f>SUM(F535:K535)</f>
        <v>306.47000000000003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306.47000000000003</v>
      </c>
      <c r="I536" s="18"/>
      <c r="J536" s="18"/>
      <c r="K536" s="18"/>
      <c r="L536" s="88">
        <f>SUM(F536:K536)</f>
        <v>306.47000000000003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306.45999999999998</v>
      </c>
      <c r="I537" s="18"/>
      <c r="J537" s="18"/>
      <c r="K537" s="18"/>
      <c r="L537" s="88">
        <f>SUM(F537:K537)</f>
        <v>306.45999999999998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919.40000000000009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919.40000000000009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48259.9</v>
      </c>
      <c r="I540" s="18"/>
      <c r="J540" s="18"/>
      <c r="K540" s="18"/>
      <c r="L540" s="88">
        <f>SUM(F540:K540)</f>
        <v>48259.9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36605.5</v>
      </c>
      <c r="I541" s="18"/>
      <c r="J541" s="18"/>
      <c r="K541" s="18"/>
      <c r="L541" s="88">
        <f>SUM(F541:K541)</f>
        <v>36605.5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40678.51</v>
      </c>
      <c r="I542" s="18"/>
      <c r="J542" s="18"/>
      <c r="K542" s="18"/>
      <c r="L542" s="88">
        <f>SUM(F542:K542)</f>
        <v>40678.51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125543.91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125543.91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1875054.79</v>
      </c>
      <c r="G544" s="89">
        <f t="shared" ref="G544:L544" si="41">G523+G528+G533+G538+G543</f>
        <v>1414621.26</v>
      </c>
      <c r="H544" s="89">
        <f t="shared" si="41"/>
        <v>1152297.1500000001</v>
      </c>
      <c r="I544" s="89">
        <f t="shared" si="41"/>
        <v>5948.73</v>
      </c>
      <c r="J544" s="89">
        <f t="shared" si="41"/>
        <v>13590.89</v>
      </c>
      <c r="K544" s="89">
        <f t="shared" si="41"/>
        <v>0</v>
      </c>
      <c r="L544" s="89">
        <f t="shared" si="41"/>
        <v>4461512.82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1526749.44</v>
      </c>
      <c r="G548" s="87">
        <f>L525</f>
        <v>108709.28</v>
      </c>
      <c r="H548" s="87">
        <f>L530</f>
        <v>53593.16</v>
      </c>
      <c r="I548" s="87">
        <f>L535</f>
        <v>306.47000000000003</v>
      </c>
      <c r="J548" s="87">
        <f>L540</f>
        <v>48259.9</v>
      </c>
      <c r="K548" s="87">
        <f>SUM(F548:J548)</f>
        <v>1737618.2499999998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1156752.56</v>
      </c>
      <c r="G549" s="87">
        <f>L526</f>
        <v>53590.57</v>
      </c>
      <c r="H549" s="87">
        <f>L531</f>
        <v>51745.119999999995</v>
      </c>
      <c r="I549" s="87">
        <f>L536</f>
        <v>306.47000000000003</v>
      </c>
      <c r="J549" s="87">
        <f>L541</f>
        <v>36605.5</v>
      </c>
      <c r="K549" s="87">
        <f>SUM(F549:J549)</f>
        <v>1299000.22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1262116.1499999999</v>
      </c>
      <c r="G550" s="87">
        <f>L527</f>
        <v>42327.51</v>
      </c>
      <c r="H550" s="87">
        <f>L532</f>
        <v>79465.72</v>
      </c>
      <c r="I550" s="87">
        <f>L537</f>
        <v>306.45999999999998</v>
      </c>
      <c r="J550" s="87">
        <f>L542</f>
        <v>40678.51</v>
      </c>
      <c r="K550" s="87">
        <f>SUM(F550:J550)</f>
        <v>1424894.3499999999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3945618.15</v>
      </c>
      <c r="G551" s="89">
        <f t="shared" si="42"/>
        <v>204627.36000000002</v>
      </c>
      <c r="H551" s="89">
        <f t="shared" si="42"/>
        <v>184804</v>
      </c>
      <c r="I551" s="89">
        <f t="shared" si="42"/>
        <v>919.40000000000009</v>
      </c>
      <c r="J551" s="89">
        <f t="shared" si="42"/>
        <v>125543.91</v>
      </c>
      <c r="K551" s="89">
        <f t="shared" si="42"/>
        <v>4461512.8199999994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9460</v>
      </c>
      <c r="H574" s="18"/>
      <c r="I574" s="87">
        <f>SUM(F574:H574)</f>
        <v>9460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37782.07</v>
      </c>
      <c r="G582" s="18">
        <v>2600</v>
      </c>
      <c r="H582" s="18">
        <v>216973.29</v>
      </c>
      <c r="I582" s="87">
        <f t="shared" si="47"/>
        <v>257355.36000000002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96156.37</v>
      </c>
      <c r="I583" s="87">
        <f t="shared" si="47"/>
        <v>96156.37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275">
        <v>107920.28</v>
      </c>
      <c r="I590" s="275">
        <v>88201.57</v>
      </c>
      <c r="J590" s="275">
        <v>143915.89000000001</v>
      </c>
      <c r="K590" s="104">
        <f t="shared" ref="K590:K596" si="48">SUM(H590:J590)</f>
        <v>340037.74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275">
        <v>48259.9</v>
      </c>
      <c r="I591" s="275">
        <v>36605.5</v>
      </c>
      <c r="J591" s="275">
        <v>40678.51</v>
      </c>
      <c r="K591" s="104">
        <f>SUM(H591:J591)</f>
        <v>125543.91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275"/>
      <c r="I592" s="275"/>
      <c r="J592" s="275">
        <v>7693.6</v>
      </c>
      <c r="K592" s="104">
        <f t="shared" si="48"/>
        <v>7693.6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275"/>
      <c r="I593" s="275">
        <v>15418.42</v>
      </c>
      <c r="J593" s="275">
        <v>47118.27</v>
      </c>
      <c r="K593" s="104">
        <f t="shared" si="48"/>
        <v>62536.689999999995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274">
        <v>8250</v>
      </c>
      <c r="I594" s="275">
        <v>19221</v>
      </c>
      <c r="J594" s="275">
        <v>8230</v>
      </c>
      <c r="K594" s="104">
        <f t="shared" si="48"/>
        <v>35701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164430.18</v>
      </c>
      <c r="I597" s="108">
        <f>SUM(I590:I596)</f>
        <v>159446.49000000002</v>
      </c>
      <c r="J597" s="108">
        <f>SUM(J590:J596)</f>
        <v>247636.27000000002</v>
      </c>
      <c r="K597" s="108">
        <f>SUM(K590:K596)</f>
        <v>571512.93999999994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67579.98</v>
      </c>
      <c r="I603" s="18">
        <v>48682.94</v>
      </c>
      <c r="J603" s="18">
        <v>100598.6</v>
      </c>
      <c r="K603" s="104">
        <f>SUM(H603:J603)</f>
        <v>216861.52000000002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67579.98</v>
      </c>
      <c r="I604" s="108">
        <f>SUM(I601:I603)</f>
        <v>48682.94</v>
      </c>
      <c r="J604" s="108">
        <f>SUM(J601:J603)</f>
        <v>100598.6</v>
      </c>
      <c r="K604" s="108">
        <f>SUM(K601:K603)</f>
        <v>216861.52000000002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63844.21</v>
      </c>
      <c r="G610" s="18">
        <v>12130.4</v>
      </c>
      <c r="H610" s="18"/>
      <c r="I610" s="18">
        <v>13650.69</v>
      </c>
      <c r="J610" s="18"/>
      <c r="K610" s="18"/>
      <c r="L610" s="88">
        <f>SUM(F610:K610)</f>
        <v>89625.3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22575.05</v>
      </c>
      <c r="G611" s="18">
        <v>4289.26</v>
      </c>
      <c r="H611" s="18"/>
      <c r="I611" s="18"/>
      <c r="J611" s="18"/>
      <c r="K611" s="18"/>
      <c r="L611" s="88">
        <f>SUM(F611:K611)</f>
        <v>26864.309999999998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29862.5</v>
      </c>
      <c r="G612" s="18">
        <v>5673.88</v>
      </c>
      <c r="H612" s="18"/>
      <c r="I612" s="18"/>
      <c r="J612" s="18"/>
      <c r="K612" s="18"/>
      <c r="L612" s="88">
        <f>SUM(F612:K612)</f>
        <v>35536.379999999997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116281.76</v>
      </c>
      <c r="G613" s="108">
        <f t="shared" si="49"/>
        <v>22093.54</v>
      </c>
      <c r="H613" s="108">
        <f t="shared" si="49"/>
        <v>0</v>
      </c>
      <c r="I613" s="108">
        <f t="shared" si="49"/>
        <v>13650.69</v>
      </c>
      <c r="J613" s="108">
        <f t="shared" si="49"/>
        <v>0</v>
      </c>
      <c r="K613" s="108">
        <f t="shared" si="49"/>
        <v>0</v>
      </c>
      <c r="L613" s="89">
        <f t="shared" si="49"/>
        <v>152025.99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2412742.29</v>
      </c>
      <c r="H616" s="109">
        <f>SUM(F51)</f>
        <v>2412742.29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112467.28</v>
      </c>
      <c r="H617" s="109">
        <f>SUM(G51)</f>
        <v>112467.28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63695.64</v>
      </c>
      <c r="H618" s="109">
        <f>SUM(H51)</f>
        <v>63695.64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200892</v>
      </c>
      <c r="H620" s="109">
        <f>SUM(J51)</f>
        <v>200892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1476894.84</v>
      </c>
      <c r="H621" s="109">
        <f>F475</f>
        <v>1476894.8399999999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102959.8</v>
      </c>
      <c r="H622" s="109">
        <f>G475</f>
        <v>102959.79999999999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200892</v>
      </c>
      <c r="H625" s="109">
        <f>J475</f>
        <v>200892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22042423.690000001</v>
      </c>
      <c r="H626" s="104">
        <f>SUM(F467)</f>
        <v>22042423.690000001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421672.95999999996</v>
      </c>
      <c r="H627" s="104">
        <f>SUM(G467)</f>
        <v>421672.96000000002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466038.87</v>
      </c>
      <c r="H628" s="104">
        <f>SUM(H467)</f>
        <v>466038.87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15809.21</v>
      </c>
      <c r="H630" s="104">
        <f>SUM(J467)</f>
        <v>15809.21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21643194.02</v>
      </c>
      <c r="H631" s="104">
        <f>SUM(F471)</f>
        <v>21643194.02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466038.87</v>
      </c>
      <c r="H632" s="104">
        <f>SUM(H471)</f>
        <v>466038.87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169640.46000000002</v>
      </c>
      <c r="H633" s="104">
        <f>I368</f>
        <v>169640.46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419552.7</v>
      </c>
      <c r="H634" s="104">
        <f>SUM(G471)</f>
        <v>419552.7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15809.21</v>
      </c>
      <c r="H636" s="164">
        <f>SUM(J467)</f>
        <v>15809.21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17809.68</v>
      </c>
      <c r="H638" s="104">
        <f>SUM(F460)</f>
        <v>17809.68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183082.32</v>
      </c>
      <c r="H639" s="104">
        <f>SUM(G460)</f>
        <v>183082.32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200892</v>
      </c>
      <c r="H641" s="104">
        <f>SUM(I460)</f>
        <v>200892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289.89</v>
      </c>
      <c r="H643" s="104">
        <f>H407</f>
        <v>289.89000000000004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15809.21</v>
      </c>
      <c r="H645" s="104">
        <f>L407</f>
        <v>15809.21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571512.93999999994</v>
      </c>
      <c r="H646" s="104">
        <f>L207+L225+L243</f>
        <v>571512.93999999994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216861.52000000002</v>
      </c>
      <c r="H647" s="104">
        <f>(J256+J337)-(J254+J335)</f>
        <v>216861.52000000002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164430.18</v>
      </c>
      <c r="H648" s="104">
        <f>H597</f>
        <v>164430.18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159446.49</v>
      </c>
      <c r="H649" s="104">
        <f>I597</f>
        <v>159446.49000000002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247636.27</v>
      </c>
      <c r="H650" s="104">
        <f>J597</f>
        <v>247636.27000000002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6502704.6400000006</v>
      </c>
      <c r="G659" s="19">
        <f>(L228+L308+L358)</f>
        <v>5915585.6800000006</v>
      </c>
      <c r="H659" s="19">
        <f>(L246+L327+L359)</f>
        <v>8878716.2699999996</v>
      </c>
      <c r="I659" s="19">
        <f>SUM(F659:H659)</f>
        <v>21297006.59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77330.521833585153</v>
      </c>
      <c r="G660" s="19">
        <f>(L358/IF(SUM(L357:L359)=0,1,SUM(L357:L359))*(SUM(G96:G109)))</f>
        <v>79815.212229498691</v>
      </c>
      <c r="H660" s="19">
        <f>(L359/IF(SUM(L357:L359)=0,1,SUM(L357:L359))*(SUM(G96:G109)))</f>
        <v>120150.34593691617</v>
      </c>
      <c r="I660" s="19">
        <f>SUM(F660:H660)</f>
        <v>277296.08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169067.88</v>
      </c>
      <c r="G661" s="19">
        <f>(L225+L305)-(J225+J305)</f>
        <v>159446.49</v>
      </c>
      <c r="H661" s="19">
        <f>(L243+L324)-(J243+J324)</f>
        <v>247636.27</v>
      </c>
      <c r="I661" s="19">
        <f>SUM(F661:H661)</f>
        <v>576150.64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194987.34999999998</v>
      </c>
      <c r="G662" s="199">
        <f>SUM(G574:G586)+SUM(I601:I603)+L611</f>
        <v>87607.25</v>
      </c>
      <c r="H662" s="199">
        <f>SUM(H574:H586)+SUM(J601:J603)+L612</f>
        <v>449264.64000000001</v>
      </c>
      <c r="I662" s="19">
        <f>SUM(F662:H662)</f>
        <v>731859.24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6061318.8881664155</v>
      </c>
      <c r="G663" s="19">
        <f>G659-SUM(G660:G662)</f>
        <v>5588716.7277705017</v>
      </c>
      <c r="H663" s="19">
        <f>H659-SUM(H660:H662)</f>
        <v>8061665.0140630836</v>
      </c>
      <c r="I663" s="19">
        <f>I659-SUM(I660:I662)</f>
        <v>19711700.629999999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359.25</v>
      </c>
      <c r="G664" s="248">
        <v>348.48</v>
      </c>
      <c r="H664" s="248">
        <v>511.35</v>
      </c>
      <c r="I664" s="19">
        <f>SUM(F664:H664)</f>
        <v>1219.08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16872.150000000001</v>
      </c>
      <c r="G666" s="19">
        <f>ROUND(G663/G664,2)</f>
        <v>16037.41</v>
      </c>
      <c r="H666" s="19">
        <f>ROUND(H663/H664,2)</f>
        <v>15765.45</v>
      </c>
      <c r="I666" s="19">
        <f>ROUND(I663/I664,2)</f>
        <v>16169.32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-15.17</v>
      </c>
      <c r="I669" s="19">
        <f>SUM(F669:H669)</f>
        <v>-15.17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16872.150000000001</v>
      </c>
      <c r="G671" s="19">
        <f>ROUND((G663+G668)/(G664+G669),2)</f>
        <v>16037.41</v>
      </c>
      <c r="H671" s="19">
        <f>ROUND((H663+H668)/(H664+H669),2)</f>
        <v>16247.46</v>
      </c>
      <c r="I671" s="19">
        <f>ROUND((I663+I668)/(I664+I669),2)</f>
        <v>16373.07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D47" sqref="D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Gilford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5831740.0499999998</v>
      </c>
      <c r="C9" s="229">
        <f>'DOE25'!G196+'DOE25'!G214+'DOE25'!G232+'DOE25'!G275+'DOE25'!G294+'DOE25'!G313</f>
        <v>3021367.4</v>
      </c>
    </row>
    <row r="10" spans="1:3" x14ac:dyDescent="0.2">
      <c r="A10" t="s">
        <v>779</v>
      </c>
      <c r="B10" s="240">
        <v>5256124.8899999997</v>
      </c>
      <c r="C10" s="240">
        <v>2614082.36</v>
      </c>
    </row>
    <row r="11" spans="1:3" x14ac:dyDescent="0.2">
      <c r="A11" t="s">
        <v>780</v>
      </c>
      <c r="B11" s="240">
        <v>575615.16</v>
      </c>
      <c r="C11" s="240">
        <v>407285.04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5831740.0499999998</v>
      </c>
      <c r="C13" s="231">
        <f>SUM(C10:C12)</f>
        <v>3021367.4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'DOE25'!F197+'DOE25'!F215+'DOE25'!F233+'DOE25'!F314+'DOE25'!F295+'DOE25'!F314</f>
        <v>1753305.1500000001</v>
      </c>
      <c r="C18" s="229">
        <f>'DOE25'!G197+'DOE25'!G215+'DOE25'!G233+'DOE25'!G314+'DOE25'!G295+'DOE25'!G314</f>
        <v>1371516.0899999996</v>
      </c>
    </row>
    <row r="19" spans="1:3" x14ac:dyDescent="0.2">
      <c r="A19" t="s">
        <v>779</v>
      </c>
      <c r="B19" s="240">
        <v>876483.62</v>
      </c>
      <c r="C19" s="240">
        <v>419502.34</v>
      </c>
    </row>
    <row r="20" spans="1:3" x14ac:dyDescent="0.2">
      <c r="A20" t="s">
        <v>780</v>
      </c>
      <c r="B20" s="240">
        <v>876821.53</v>
      </c>
      <c r="C20" s="240">
        <v>952013.75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1753305.15</v>
      </c>
      <c r="C22" s="231">
        <f>SUM(C19:C21)</f>
        <v>1371516.09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269017.03999999998</v>
      </c>
      <c r="C36" s="235">
        <f>'DOE25'!G199+'DOE25'!G217+'DOE25'!G235+'DOE25'!G278+'DOE25'!G297+'DOE25'!G316</f>
        <v>101993.56</v>
      </c>
    </row>
    <row r="37" spans="1:3" x14ac:dyDescent="0.2">
      <c r="A37" t="s">
        <v>779</v>
      </c>
      <c r="B37" s="240">
        <v>28782.5</v>
      </c>
      <c r="C37" s="240">
        <v>5756.5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240234.54</v>
      </c>
      <c r="C39" s="240">
        <v>96237.06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269017.04000000004</v>
      </c>
      <c r="C40" s="231">
        <f>SUM(C37:C39)</f>
        <v>101993.56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Gilford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13375402.969999999</v>
      </c>
      <c r="D5" s="20">
        <f>SUM('DOE25'!L196:L199)+SUM('DOE25'!L214:L217)+SUM('DOE25'!L232:L235)-F5-G5</f>
        <v>13321390.469999999</v>
      </c>
      <c r="E5" s="243"/>
      <c r="F5" s="255">
        <f>SUM('DOE25'!J196:J199)+SUM('DOE25'!J214:J217)+SUM('DOE25'!J232:J235)</f>
        <v>53762.5</v>
      </c>
      <c r="G5" s="53">
        <f>SUM('DOE25'!K196:K199)+SUM('DOE25'!K214:K217)+SUM('DOE25'!K232:K235)</f>
        <v>250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957385.15</v>
      </c>
      <c r="D6" s="20">
        <f>'DOE25'!L201+'DOE25'!L219+'DOE25'!L237-F6-G6</f>
        <v>956980.75</v>
      </c>
      <c r="E6" s="243"/>
      <c r="F6" s="255">
        <f>'DOE25'!J201+'DOE25'!J219+'DOE25'!J237</f>
        <v>404.4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1041737.96</v>
      </c>
      <c r="D7" s="20">
        <f>'DOE25'!L202+'DOE25'!L220+'DOE25'!L238-F7-G7</f>
        <v>912883.21</v>
      </c>
      <c r="E7" s="243"/>
      <c r="F7" s="255">
        <f>'DOE25'!J202+'DOE25'!J220+'DOE25'!J238</f>
        <v>128854.75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26129.940000000039</v>
      </c>
      <c r="D8" s="243"/>
      <c r="E8" s="20">
        <f>'DOE25'!L203+'DOE25'!L221+'DOE25'!L239-F8-G8-D9-D11</f>
        <v>15821.450000000041</v>
      </c>
      <c r="F8" s="255">
        <f>'DOE25'!J203+'DOE25'!J221+'DOE25'!J239</f>
        <v>0</v>
      </c>
      <c r="G8" s="53">
        <f>'DOE25'!K203+'DOE25'!K221+'DOE25'!K239</f>
        <v>10308.49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20791.27</v>
      </c>
      <c r="D9" s="244">
        <v>20791.27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18164.5</v>
      </c>
      <c r="D10" s="243"/>
      <c r="E10" s="244">
        <v>18164.5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216868</v>
      </c>
      <c r="D11" s="244">
        <v>216868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1445069.7200000002</v>
      </c>
      <c r="D12" s="20">
        <f>'DOE25'!L204+'DOE25'!L222+'DOE25'!L240-F12-G12</f>
        <v>1423020.2500000002</v>
      </c>
      <c r="E12" s="243"/>
      <c r="F12" s="255">
        <f>'DOE25'!J204+'DOE25'!J222+'DOE25'!J240</f>
        <v>0</v>
      </c>
      <c r="G12" s="53">
        <f>'DOE25'!K204+'DOE25'!K222+'DOE25'!K240</f>
        <v>22049.469999999998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357008.03</v>
      </c>
      <c r="D13" s="243"/>
      <c r="E13" s="20">
        <f>'DOE25'!L205+'DOE25'!L223+'DOE25'!L241-F13-G13</f>
        <v>352645.28</v>
      </c>
      <c r="F13" s="255">
        <f>'DOE25'!J205+'DOE25'!J223+'DOE25'!J241</f>
        <v>0</v>
      </c>
      <c r="G13" s="53">
        <f>'DOE25'!K205+'DOE25'!K223+'DOE25'!K241</f>
        <v>4362.75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2399509.04</v>
      </c>
      <c r="D14" s="20">
        <f>'DOE25'!L206+'DOE25'!L224+'DOE25'!L242-F14-G14</f>
        <v>2396388.2999999998</v>
      </c>
      <c r="E14" s="243"/>
      <c r="F14" s="255">
        <f>'DOE25'!J206+'DOE25'!J224+'DOE25'!J242</f>
        <v>3120.74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571512.93999999994</v>
      </c>
      <c r="D15" s="20">
        <f>'DOE25'!L207+'DOE25'!L225+'DOE25'!L243-F15-G15</f>
        <v>571512.93999999994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1231779</v>
      </c>
      <c r="D25" s="243"/>
      <c r="E25" s="243"/>
      <c r="F25" s="258"/>
      <c r="G25" s="256"/>
      <c r="H25" s="257">
        <f>'DOE25'!L259+'DOE25'!L260+'DOE25'!L340+'DOE25'!L341</f>
        <v>1231779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265644.18000000005</v>
      </c>
      <c r="D29" s="20">
        <f>'DOE25'!L357+'DOE25'!L358+'DOE25'!L359-'DOE25'!I366-F29-G29</f>
        <v>265644.18000000005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466038.87</v>
      </c>
      <c r="D31" s="20">
        <f>'DOE25'!L289+'DOE25'!L308+'DOE25'!L327+'DOE25'!L332+'DOE25'!L333+'DOE25'!L334-F31-G31</f>
        <v>433516.27</v>
      </c>
      <c r="E31" s="243"/>
      <c r="F31" s="255">
        <f>'DOE25'!J289+'DOE25'!J308+'DOE25'!J327+'DOE25'!J332+'DOE25'!J333+'DOE25'!J334</f>
        <v>30719.129999999997</v>
      </c>
      <c r="G31" s="53">
        <f>'DOE25'!K289+'DOE25'!K308+'DOE25'!K327+'DOE25'!K332+'DOE25'!K333+'DOE25'!K334</f>
        <v>1803.47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20518995.640000001</v>
      </c>
      <c r="E33" s="246">
        <f>SUM(E5:E31)</f>
        <v>386631.2300000001</v>
      </c>
      <c r="F33" s="246">
        <f>SUM(F5:F31)</f>
        <v>216861.52</v>
      </c>
      <c r="G33" s="246">
        <f>SUM(G5:G31)</f>
        <v>38774.18</v>
      </c>
      <c r="H33" s="246">
        <f>SUM(H5:H31)</f>
        <v>1231779</v>
      </c>
    </row>
    <row r="35" spans="2:8" ht="12" thickBot="1" x14ac:dyDescent="0.25">
      <c r="B35" s="253" t="s">
        <v>847</v>
      </c>
      <c r="D35" s="254">
        <f>E33</f>
        <v>386631.2300000001</v>
      </c>
      <c r="E35" s="249"/>
    </row>
    <row r="36" spans="2:8" ht="12" thickTop="1" x14ac:dyDescent="0.2">
      <c r="B36" t="s">
        <v>815</v>
      </c>
      <c r="D36" s="20">
        <f>D33</f>
        <v>20518995.640000001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1215957.56</v>
      </c>
      <c r="D8" s="95">
        <f>'DOE25'!G9</f>
        <v>81237.179999999993</v>
      </c>
      <c r="E8" s="95">
        <f>'DOE25'!H9</f>
        <v>63695.64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63695.64</v>
      </c>
      <c r="D12" s="95">
        <f>'DOE25'!G13</f>
        <v>26707.05</v>
      </c>
      <c r="E12" s="95">
        <f>'DOE25'!H13</f>
        <v>0</v>
      </c>
      <c r="F12" s="95">
        <f>'DOE25'!I13</f>
        <v>0</v>
      </c>
      <c r="G12" s="95">
        <f>'DOE25'!J13</f>
        <v>200892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1133089.0900000001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4523.05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2412742.29</v>
      </c>
      <c r="D18" s="41">
        <f>SUM(D8:D17)</f>
        <v>112467.28</v>
      </c>
      <c r="E18" s="41">
        <f>SUM(E8:E17)</f>
        <v>63695.64</v>
      </c>
      <c r="F18" s="41">
        <f>SUM(F8:F17)</f>
        <v>0</v>
      </c>
      <c r="G18" s="41">
        <f>SUM(G8:G17)</f>
        <v>200892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81063.91</v>
      </c>
      <c r="D22" s="95">
        <f>'DOE25'!G23</f>
        <v>0</v>
      </c>
      <c r="E22" s="95">
        <f>'DOE25'!H23</f>
        <v>63695.64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747335.54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107448</v>
      </c>
      <c r="D29" s="95">
        <f>'DOE25'!G30</f>
        <v>9507.48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935847.45000000007</v>
      </c>
      <c r="D31" s="41">
        <f>SUM(D21:D30)</f>
        <v>9507.48</v>
      </c>
      <c r="E31" s="41">
        <f>SUM(E21:E30)</f>
        <v>63695.64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200892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102959.8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1476894.84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1476894.84</v>
      </c>
      <c r="D49" s="41">
        <f>SUM(D34:D48)</f>
        <v>102959.8</v>
      </c>
      <c r="E49" s="41">
        <f>SUM(E34:E48)</f>
        <v>0</v>
      </c>
      <c r="F49" s="41">
        <f>SUM(F34:F48)</f>
        <v>0</v>
      </c>
      <c r="G49" s="41">
        <f>SUM(G34:G48)</f>
        <v>200892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2412742.29</v>
      </c>
      <c r="D50" s="41">
        <f>D49+D31</f>
        <v>112467.28</v>
      </c>
      <c r="E50" s="41">
        <f>E49+E31</f>
        <v>63695.64</v>
      </c>
      <c r="F50" s="41">
        <f>F49+F31</f>
        <v>0</v>
      </c>
      <c r="G50" s="41">
        <f>G49+G31</f>
        <v>200892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14049394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2718777.91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7693.6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2094.1799999999998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289.89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277296.08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105445.85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15519.32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2834011.5400000005</v>
      </c>
      <c r="D61" s="130">
        <f>SUM(D56:D60)</f>
        <v>277296.08</v>
      </c>
      <c r="E61" s="130">
        <f>SUM(E56:E60)</f>
        <v>0</v>
      </c>
      <c r="F61" s="130">
        <f>SUM(F56:F60)</f>
        <v>0</v>
      </c>
      <c r="G61" s="130">
        <f>SUM(G56:G60)</f>
        <v>15809.21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16883405.539999999</v>
      </c>
      <c r="D62" s="22">
        <f>D55+D61</f>
        <v>277296.08</v>
      </c>
      <c r="E62" s="22">
        <f>E55+E61</f>
        <v>0</v>
      </c>
      <c r="F62" s="22">
        <f>F55+F61</f>
        <v>0</v>
      </c>
      <c r="G62" s="22">
        <f>G55+G61</f>
        <v>15809.21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624118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4079248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4703366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314593.78999999998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94832.21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6704.8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5443.73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416130.8</v>
      </c>
      <c r="D77" s="130">
        <f>SUM(D71:D76)</f>
        <v>5443.73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5119496.8</v>
      </c>
      <c r="D80" s="130">
        <f>SUM(D78:D79)+D77+D69</f>
        <v>5443.73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280507.31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39521.35</v>
      </c>
      <c r="D87" s="95">
        <f>SUM('DOE25'!G152:G160)</f>
        <v>138933.15</v>
      </c>
      <c r="E87" s="95">
        <f>SUM('DOE25'!H152:H160)</f>
        <v>174331.56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11200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39521.35</v>
      </c>
      <c r="D90" s="131">
        <f>SUM(D84:D89)</f>
        <v>138933.15</v>
      </c>
      <c r="E90" s="131">
        <f>SUM(E84:E89)</f>
        <v>466038.87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22042423.690000001</v>
      </c>
      <c r="D103" s="86">
        <f>D62+D80+D90+D102</f>
        <v>421672.95999999996</v>
      </c>
      <c r="E103" s="86">
        <f>E62+E80+E90+E102</f>
        <v>466038.87</v>
      </c>
      <c r="F103" s="86">
        <f>F62+F80+F90+F102</f>
        <v>0</v>
      </c>
      <c r="G103" s="86">
        <f>G62+G80+G102</f>
        <v>15809.21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9014537.9100000001</v>
      </c>
      <c r="D108" s="24" t="s">
        <v>289</v>
      </c>
      <c r="E108" s="95">
        <f>('DOE25'!L275)+('DOE25'!L294)+('DOE25'!L313)</f>
        <v>165233.85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3752384.42</v>
      </c>
      <c r="D109" s="24" t="s">
        <v>289</v>
      </c>
      <c r="E109" s="95">
        <f>('DOE25'!L276)+('DOE25'!L295)+('DOE25'!L314)</f>
        <v>193233.72999999998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96156.37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512324.26999999996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13375402.969999999</v>
      </c>
      <c r="D114" s="86">
        <f>SUM(D108:D113)</f>
        <v>0</v>
      </c>
      <c r="E114" s="86">
        <f>SUM(E108:E113)</f>
        <v>358467.57999999996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957385.15</v>
      </c>
      <c r="D117" s="24" t="s">
        <v>289</v>
      </c>
      <c r="E117" s="95">
        <f>+('DOE25'!L280)+('DOE25'!L299)+('DOE25'!L318)</f>
        <v>69973.95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1041737.96</v>
      </c>
      <c r="D118" s="24" t="s">
        <v>289</v>
      </c>
      <c r="E118" s="95">
        <f>+('DOE25'!L281)+('DOE25'!L300)+('DOE25'!L319)</f>
        <v>32959.64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263789.21000000002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1445069.7200000002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357008.03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2399509.04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571512.93999999994</v>
      </c>
      <c r="D123" s="24" t="s">
        <v>289</v>
      </c>
      <c r="E123" s="95">
        <f>+('DOE25'!L286)+('DOE25'!L305)+('DOE25'!L324)</f>
        <v>4637.7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419552.7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7036012.0500000007</v>
      </c>
      <c r="D127" s="86">
        <f>SUM(D117:D126)</f>
        <v>419552.7</v>
      </c>
      <c r="E127" s="86">
        <f>SUM(E117:E126)</f>
        <v>107571.29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850000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381779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15522.289999999999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286.92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-15809.21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1231779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21643194.02</v>
      </c>
      <c r="D144" s="86">
        <f>(D114+D127+D143)</f>
        <v>419552.7</v>
      </c>
      <c r="E144" s="86">
        <f>(E114+E127+E143)</f>
        <v>466038.86999999994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16997033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4.45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9345000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9345000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850000</v>
      </c>
    </row>
    <row r="158" spans="1:9" x14ac:dyDescent="0.2">
      <c r="A158" s="22" t="s">
        <v>35</v>
      </c>
      <c r="B158" s="137">
        <f>'DOE25'!F497</f>
        <v>8495000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8495000</v>
      </c>
    </row>
    <row r="159" spans="1:9" x14ac:dyDescent="0.2">
      <c r="A159" s="22" t="s">
        <v>36</v>
      </c>
      <c r="B159" s="137">
        <f>'DOE25'!F498</f>
        <v>1871049.5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1871049.5</v>
      </c>
    </row>
    <row r="160" spans="1:9" x14ac:dyDescent="0.2">
      <c r="A160" s="22" t="s">
        <v>37</v>
      </c>
      <c r="B160" s="137">
        <f>'DOE25'!F499</f>
        <v>10366049.5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10366049.5</v>
      </c>
    </row>
    <row r="161" spans="1:7" x14ac:dyDescent="0.2">
      <c r="A161" s="22" t="s">
        <v>38</v>
      </c>
      <c r="B161" s="137">
        <f>'DOE25'!F500</f>
        <v>850000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850000</v>
      </c>
    </row>
    <row r="162" spans="1:7" x14ac:dyDescent="0.2">
      <c r="A162" s="22" t="s">
        <v>39</v>
      </c>
      <c r="B162" s="137">
        <f>'DOE25'!F501</f>
        <v>347354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347354</v>
      </c>
    </row>
    <row r="163" spans="1:7" x14ac:dyDescent="0.2">
      <c r="A163" s="22" t="s">
        <v>246</v>
      </c>
      <c r="B163" s="137">
        <f>'DOE25'!F502</f>
        <v>1197354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1197354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0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Gilford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16872</v>
      </c>
    </row>
    <row r="5" spans="1:4" x14ac:dyDescent="0.2">
      <c r="B5" t="s">
        <v>704</v>
      </c>
      <c r="C5" s="179">
        <f>IF('DOE25'!G664+'DOE25'!G669=0,0,ROUND('DOE25'!G671,0))</f>
        <v>16037</v>
      </c>
    </row>
    <row r="6" spans="1:4" x14ac:dyDescent="0.2">
      <c r="B6" t="s">
        <v>62</v>
      </c>
      <c r="C6" s="179">
        <f>IF('DOE25'!H664+'DOE25'!H669=0,0,ROUND('DOE25'!H671,0))</f>
        <v>16247</v>
      </c>
    </row>
    <row r="7" spans="1:4" x14ac:dyDescent="0.2">
      <c r="B7" t="s">
        <v>705</v>
      </c>
      <c r="C7" s="179">
        <f>IF('DOE25'!I664+'DOE25'!I669=0,0,ROUND('DOE25'!I671,0))</f>
        <v>16373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9179772</v>
      </c>
      <c r="D10" s="182">
        <f>ROUND((C10/$C$28)*100,1)</f>
        <v>42.9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3945618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96156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512324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1027359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1074698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263789</v>
      </c>
      <c r="D17" s="182">
        <f t="shared" si="0"/>
        <v>1.2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1445070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357008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2399509</v>
      </c>
      <c r="D20" s="182">
        <f t="shared" si="0"/>
        <v>11.2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576151</v>
      </c>
      <c r="D21" s="182">
        <f t="shared" si="0"/>
        <v>2.7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381779</v>
      </c>
      <c r="D25" s="182">
        <f t="shared" si="0"/>
        <v>1.8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142256.91999999998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21401489.920000002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21401489.920000002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850000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14049394</v>
      </c>
      <c r="D35" s="182">
        <f t="shared" ref="D35:D40" si="1">ROUND((C35/$C$41)*100,1)</f>
        <v>62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2849820.75</v>
      </c>
      <c r="D36" s="182">
        <f t="shared" si="1"/>
        <v>12.6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4703366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421575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644493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22668648.75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Gilford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2013-10-01T18:53:43Z</cp:lastPrinted>
  <dcterms:created xsi:type="dcterms:W3CDTF">1997-12-04T19:04:30Z</dcterms:created>
  <dcterms:modified xsi:type="dcterms:W3CDTF">2013-12-05T18:42:08Z</dcterms:modified>
</cp:coreProperties>
</file>