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9" i="1" l="1"/>
  <c r="F9" i="1" l="1"/>
  <c r="G464" i="1" l="1"/>
  <c r="H603" i="1" l="1"/>
  <c r="H207" i="1"/>
  <c r="H243" i="1"/>
  <c r="J590" i="1"/>
  <c r="J591" i="1"/>
  <c r="I591" i="1"/>
  <c r="H591" i="1"/>
  <c r="H581" i="1"/>
  <c r="G581" i="1"/>
  <c r="K522" i="1" l="1"/>
  <c r="J522" i="1"/>
  <c r="I522" i="1"/>
  <c r="H522" i="1"/>
  <c r="G522" i="1"/>
  <c r="F522" i="1"/>
  <c r="K521" i="1"/>
  <c r="J521" i="1"/>
  <c r="I521" i="1"/>
  <c r="H521" i="1"/>
  <c r="G521" i="1"/>
  <c r="F521" i="1"/>
  <c r="K520" i="1"/>
  <c r="J520" i="1"/>
  <c r="I520" i="1"/>
  <c r="H520" i="1"/>
  <c r="G520" i="1"/>
  <c r="F520" i="1"/>
  <c r="F498" i="1" l="1"/>
  <c r="F497" i="1"/>
  <c r="J471" i="1" l="1"/>
  <c r="I471" i="1"/>
  <c r="H471" i="1"/>
  <c r="G471" i="1"/>
  <c r="H467" i="1"/>
  <c r="G467" i="1"/>
  <c r="F467" i="1"/>
  <c r="F29" i="1"/>
  <c r="F24" i="1"/>
  <c r="H154" i="1"/>
  <c r="H98" i="1"/>
  <c r="H101" i="1"/>
  <c r="G167" i="1"/>
  <c r="G157" i="1"/>
  <c r="G96" i="1"/>
  <c r="F109" i="1"/>
  <c r="F100" i="1"/>
  <c r="H367" i="1" l="1"/>
  <c r="G367" i="1"/>
  <c r="F367" i="1"/>
  <c r="K359" i="1"/>
  <c r="I359" i="1"/>
  <c r="H359" i="1"/>
  <c r="G359" i="1"/>
  <c r="F359" i="1"/>
  <c r="K358" i="1"/>
  <c r="I358" i="1"/>
  <c r="H358" i="1"/>
  <c r="G358" i="1"/>
  <c r="F358" i="1"/>
  <c r="K357" i="1"/>
  <c r="I357" i="1"/>
  <c r="H357" i="1"/>
  <c r="G357" i="1"/>
  <c r="F357" i="1"/>
  <c r="I319" i="1"/>
  <c r="G314" i="1"/>
  <c r="G276" i="1"/>
  <c r="I275" i="1"/>
  <c r="H275" i="1"/>
  <c r="G275" i="1"/>
  <c r="F202" i="1" l="1"/>
  <c r="G202" i="1"/>
  <c r="F220" i="1"/>
  <c r="F219" i="1"/>
  <c r="H197" i="1"/>
  <c r="G334" i="1"/>
  <c r="F334" i="1"/>
  <c r="F314" i="1"/>
  <c r="G295" i="1"/>
  <c r="F295" i="1"/>
  <c r="G281" i="1"/>
  <c r="F281" i="1"/>
  <c r="F276" i="1"/>
  <c r="F275" i="1" l="1"/>
  <c r="I242" i="1" l="1"/>
  <c r="H242" i="1"/>
  <c r="G242" i="1"/>
  <c r="F242" i="1"/>
  <c r="H240" i="1"/>
  <c r="F239" i="1"/>
  <c r="G238" i="1"/>
  <c r="F238" i="1"/>
  <c r="I237" i="1"/>
  <c r="H237" i="1"/>
  <c r="G237" i="1"/>
  <c r="F237" i="1"/>
  <c r="I235" i="1"/>
  <c r="I233" i="1"/>
  <c r="G233" i="1"/>
  <c r="F233" i="1"/>
  <c r="J232" i="1"/>
  <c r="I232" i="1"/>
  <c r="H232" i="1"/>
  <c r="G232" i="1"/>
  <c r="F232" i="1"/>
  <c r="H225" i="1" l="1"/>
  <c r="I224" i="1"/>
  <c r="H224" i="1"/>
  <c r="G224" i="1"/>
  <c r="F224" i="1"/>
  <c r="H222" i="1"/>
  <c r="H220" i="1"/>
  <c r="G220" i="1"/>
  <c r="H219" i="1"/>
  <c r="G219" i="1"/>
  <c r="I215" i="1"/>
  <c r="H215" i="1"/>
  <c r="G215" i="1"/>
  <c r="F215" i="1"/>
  <c r="J214" i="1"/>
  <c r="I214" i="1"/>
  <c r="H214" i="1"/>
  <c r="G214" i="1"/>
  <c r="F214" i="1"/>
  <c r="I206" i="1"/>
  <c r="H206" i="1"/>
  <c r="G206" i="1"/>
  <c r="F206" i="1"/>
  <c r="H204" i="1"/>
  <c r="I201" i="1"/>
  <c r="G201" i="1"/>
  <c r="F201" i="1"/>
  <c r="G199" i="1"/>
  <c r="F199" i="1"/>
  <c r="I197" i="1"/>
  <c r="G197" i="1"/>
  <c r="F197" i="1"/>
  <c r="J196" i="1"/>
  <c r="I196" i="1"/>
  <c r="H196" i="1"/>
  <c r="G196" i="1"/>
  <c r="F196" i="1"/>
  <c r="H319" i="1" l="1"/>
  <c r="F319" i="1"/>
  <c r="I239" i="1"/>
  <c r="H239" i="1"/>
  <c r="G239" i="1"/>
  <c r="H233" i="1"/>
  <c r="H221" i="1"/>
  <c r="G221" i="1"/>
  <c r="F221" i="1"/>
  <c r="H203" i="1" l="1"/>
  <c r="G203" i="1"/>
  <c r="F203" i="1"/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C19" i="10" s="1"/>
  <c r="F16" i="13"/>
  <c r="G16" i="13"/>
  <c r="L208" i="1"/>
  <c r="L226" i="1"/>
  <c r="C124" i="2" s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F661" i="1" s="1"/>
  <c r="L225" i="1"/>
  <c r="G661" i="1" s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E118" i="2" s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A40" i="12" s="1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C55" i="2" s="1"/>
  <c r="G59" i="1"/>
  <c r="H59" i="1"/>
  <c r="I59" i="1"/>
  <c r="F78" i="1"/>
  <c r="C56" i="2" s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2" i="10"/>
  <c r="L249" i="1"/>
  <c r="L331" i="1"/>
  <c r="C23" i="10" s="1"/>
  <c r="L253" i="1"/>
  <c r="L267" i="1"/>
  <c r="L268" i="1"/>
  <c r="L348" i="1"/>
  <c r="L349" i="1"/>
  <c r="I664" i="1"/>
  <c r="I669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F551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D18" i="2" s="1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F31" i="2" s="1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D55" i="2"/>
  <c r="E55" i="2"/>
  <c r="F55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08" i="2"/>
  <c r="C110" i="2"/>
  <c r="E110" i="2"/>
  <c r="E111" i="2"/>
  <c r="C112" i="2"/>
  <c r="E112" i="2"/>
  <c r="C113" i="2"/>
  <c r="E113" i="2"/>
  <c r="D114" i="2"/>
  <c r="F114" i="2"/>
  <c r="G114" i="2"/>
  <c r="E117" i="2"/>
  <c r="E119" i="2"/>
  <c r="E120" i="2"/>
  <c r="E121" i="2"/>
  <c r="E122" i="2"/>
  <c r="E123" i="2"/>
  <c r="E124" i="2"/>
  <c r="F127" i="2"/>
  <c r="G127" i="2"/>
  <c r="C129" i="2"/>
  <c r="E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G617" i="1" s="1"/>
  <c r="H19" i="1"/>
  <c r="G618" i="1" s="1"/>
  <c r="I19" i="1"/>
  <c r="G619" i="1" s="1"/>
  <c r="F32" i="1"/>
  <c r="G32" i="1"/>
  <c r="H32" i="1"/>
  <c r="I32" i="1"/>
  <c r="F50" i="1"/>
  <c r="G621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L255" i="1" s="1"/>
  <c r="H255" i="1"/>
  <c r="I255" i="1"/>
  <c r="J255" i="1"/>
  <c r="K255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J351" i="1" s="1"/>
  <c r="K336" i="1"/>
  <c r="K337" i="1" s="1"/>
  <c r="K351" i="1" s="1"/>
  <c r="F361" i="1"/>
  <c r="G361" i="1"/>
  <c r="H361" i="1"/>
  <c r="I361" i="1"/>
  <c r="G633" i="1" s="1"/>
  <c r="J361" i="1"/>
  <c r="K361" i="1"/>
  <c r="I367" i="1"/>
  <c r="F368" i="1"/>
  <c r="G368" i="1"/>
  <c r="H368" i="1"/>
  <c r="L380" i="1"/>
  <c r="L381" i="1" s="1"/>
  <c r="G635" i="1" s="1"/>
  <c r="F381" i="1"/>
  <c r="G381" i="1"/>
  <c r="H381" i="1"/>
  <c r="I381" i="1"/>
  <c r="J381" i="1"/>
  <c r="K381" i="1"/>
  <c r="F392" i="1"/>
  <c r="F407" i="1" s="1"/>
  <c r="H642" i="1" s="1"/>
  <c r="J642" i="1" s="1"/>
  <c r="G392" i="1"/>
  <c r="G407" i="1" s="1"/>
  <c r="H644" i="1" s="1"/>
  <c r="H392" i="1"/>
  <c r="I392" i="1"/>
  <c r="F400" i="1"/>
  <c r="G400" i="1"/>
  <c r="H400" i="1"/>
  <c r="I400" i="1"/>
  <c r="F406" i="1"/>
  <c r="G406" i="1"/>
  <c r="H406" i="1"/>
  <c r="I406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638" i="1" s="1"/>
  <c r="G445" i="1"/>
  <c r="H445" i="1"/>
  <c r="F451" i="1"/>
  <c r="G451" i="1"/>
  <c r="H451" i="1"/>
  <c r="I451" i="1"/>
  <c r="F459" i="1"/>
  <c r="F460" i="1" s="1"/>
  <c r="H638" i="1" s="1"/>
  <c r="G459" i="1"/>
  <c r="H459" i="1"/>
  <c r="G460" i="1"/>
  <c r="H460" i="1"/>
  <c r="F469" i="1"/>
  <c r="G469" i="1"/>
  <c r="H469" i="1"/>
  <c r="I469" i="1"/>
  <c r="J469" i="1"/>
  <c r="G473" i="1"/>
  <c r="H473" i="1"/>
  <c r="I473" i="1"/>
  <c r="J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H523" i="1"/>
  <c r="H544" i="1" s="1"/>
  <c r="I523" i="1"/>
  <c r="I544" i="1" s="1"/>
  <c r="J523" i="1"/>
  <c r="J544" i="1" s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F570" i="1" s="1"/>
  <c r="G564" i="1"/>
  <c r="H564" i="1"/>
  <c r="H570" i="1" s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22" i="1"/>
  <c r="G624" i="1"/>
  <c r="H626" i="1"/>
  <c r="H627" i="1"/>
  <c r="H628" i="1"/>
  <c r="H629" i="1"/>
  <c r="H630" i="1"/>
  <c r="H632" i="1"/>
  <c r="H634" i="1"/>
  <c r="H635" i="1"/>
  <c r="H636" i="1"/>
  <c r="H637" i="1"/>
  <c r="G639" i="1"/>
  <c r="H639" i="1"/>
  <c r="G640" i="1"/>
  <c r="H640" i="1"/>
  <c r="G642" i="1"/>
  <c r="G643" i="1"/>
  <c r="H643" i="1"/>
  <c r="G644" i="1"/>
  <c r="H646" i="1"/>
  <c r="G649" i="1"/>
  <c r="G650" i="1"/>
  <c r="G651" i="1"/>
  <c r="H651" i="1"/>
  <c r="G652" i="1"/>
  <c r="H652" i="1"/>
  <c r="G653" i="1"/>
  <c r="H653" i="1"/>
  <c r="H654" i="1"/>
  <c r="F191" i="1"/>
  <c r="G163" i="2"/>
  <c r="G159" i="2"/>
  <c r="C26" i="10"/>
  <c r="L350" i="1"/>
  <c r="A31" i="12"/>
  <c r="C69" i="2"/>
  <c r="D12" i="13"/>
  <c r="C12" i="13" s="1"/>
  <c r="G161" i="2"/>
  <c r="D61" i="2"/>
  <c r="D62" i="2" s="1"/>
  <c r="E49" i="2"/>
  <c r="D18" i="13"/>
  <c r="C18" i="13" s="1"/>
  <c r="D15" i="13"/>
  <c r="C15" i="13" s="1"/>
  <c r="F102" i="2"/>
  <c r="D17" i="13"/>
  <c r="C17" i="13" s="1"/>
  <c r="G158" i="2"/>
  <c r="C90" i="2"/>
  <c r="G80" i="2"/>
  <c r="F77" i="2"/>
  <c r="F80" i="2" s="1"/>
  <c r="F61" i="2"/>
  <c r="F62" i="2" s="1"/>
  <c r="D31" i="2"/>
  <c r="C77" i="2"/>
  <c r="D49" i="2"/>
  <c r="G156" i="2"/>
  <c r="F49" i="2"/>
  <c r="F18" i="2"/>
  <c r="G162" i="2"/>
  <c r="G160" i="2"/>
  <c r="G157" i="2"/>
  <c r="G155" i="2"/>
  <c r="G102" i="2"/>
  <c r="E102" i="2"/>
  <c r="C102" i="2"/>
  <c r="D90" i="2"/>
  <c r="F90" i="2"/>
  <c r="E61" i="2"/>
  <c r="E62" i="2" s="1"/>
  <c r="E31" i="2"/>
  <c r="C31" i="2"/>
  <c r="G61" i="2"/>
  <c r="D19" i="13"/>
  <c r="C19" i="13" s="1"/>
  <c r="D14" i="13"/>
  <c r="C14" i="13" s="1"/>
  <c r="E13" i="13"/>
  <c r="C13" i="13" s="1"/>
  <c r="E77" i="2"/>
  <c r="E80" i="2" s="1"/>
  <c r="L426" i="1"/>
  <c r="H111" i="1"/>
  <c r="F111" i="1"/>
  <c r="J640" i="1"/>
  <c r="K604" i="1"/>
  <c r="G647" i="1" s="1"/>
  <c r="J570" i="1"/>
  <c r="K570" i="1"/>
  <c r="L432" i="1"/>
  <c r="L418" i="1"/>
  <c r="D80" i="2"/>
  <c r="I168" i="1"/>
  <c r="H168" i="1"/>
  <c r="G551" i="1"/>
  <c r="J643" i="1"/>
  <c r="H475" i="1"/>
  <c r="H623" i="1" s="1"/>
  <c r="I475" i="1"/>
  <c r="H624" i="1" s="1"/>
  <c r="G475" i="1"/>
  <c r="H622" i="1" s="1"/>
  <c r="F168" i="1"/>
  <c r="J139" i="1"/>
  <c r="I551" i="1"/>
  <c r="K549" i="1"/>
  <c r="G22" i="2"/>
  <c r="K544" i="1"/>
  <c r="J551" i="1"/>
  <c r="C29" i="10"/>
  <c r="H139" i="1"/>
  <c r="L400" i="1"/>
  <c r="C138" i="2" s="1"/>
  <c r="L392" i="1"/>
  <c r="C137" i="2" s="1"/>
  <c r="F22" i="13"/>
  <c r="H25" i="13"/>
  <c r="C25" i="13" s="1"/>
  <c r="J639" i="1"/>
  <c r="L559" i="1"/>
  <c r="G191" i="1"/>
  <c r="H191" i="1"/>
  <c r="C35" i="10"/>
  <c r="L308" i="1"/>
  <c r="E16" i="13"/>
  <c r="C16" i="13" s="1"/>
  <c r="L569" i="1"/>
  <c r="I570" i="1"/>
  <c r="J635" i="1"/>
  <c r="G36" i="2"/>
  <c r="G544" i="1"/>
  <c r="C22" i="13"/>
  <c r="J644" i="1" l="1"/>
  <c r="A13" i="12"/>
  <c r="C18" i="2"/>
  <c r="E18" i="2"/>
  <c r="E50" i="2"/>
  <c r="G623" i="1"/>
  <c r="J623" i="1"/>
  <c r="J624" i="1"/>
  <c r="J475" i="1"/>
  <c r="H625" i="1" s="1"/>
  <c r="I459" i="1"/>
  <c r="I460" i="1" s="1"/>
  <c r="H641" i="1" s="1"/>
  <c r="J654" i="1"/>
  <c r="K597" i="1"/>
  <c r="G646" i="1" s="1"/>
  <c r="J646" i="1" s="1"/>
  <c r="J650" i="1"/>
  <c r="L564" i="1"/>
  <c r="L570" i="1" s="1"/>
  <c r="H551" i="1"/>
  <c r="L533" i="1"/>
  <c r="L544" i="1" s="1"/>
  <c r="K548" i="1"/>
  <c r="K550" i="1"/>
  <c r="K502" i="1"/>
  <c r="K499" i="1"/>
  <c r="J638" i="1"/>
  <c r="I445" i="1"/>
  <c r="G641" i="1" s="1"/>
  <c r="F50" i="2"/>
  <c r="J622" i="1"/>
  <c r="C49" i="2"/>
  <c r="C50" i="2" s="1"/>
  <c r="F51" i="1"/>
  <c r="H616" i="1" s="1"/>
  <c r="J616" i="1" s="1"/>
  <c r="C61" i="2"/>
  <c r="C62" i="2" s="1"/>
  <c r="C80" i="2"/>
  <c r="I368" i="1"/>
  <c r="H633" i="1" s="1"/>
  <c r="J633" i="1" s="1"/>
  <c r="D29" i="13"/>
  <c r="C29" i="13" s="1"/>
  <c r="C25" i="10"/>
  <c r="L289" i="1"/>
  <c r="H337" i="1"/>
  <c r="H351" i="1" s="1"/>
  <c r="L336" i="1"/>
  <c r="C13" i="10"/>
  <c r="L327" i="1"/>
  <c r="E109" i="2"/>
  <c r="E114" i="2" s="1"/>
  <c r="C11" i="10"/>
  <c r="F337" i="1"/>
  <c r="F351" i="1" s="1"/>
  <c r="E143" i="2"/>
  <c r="H33" i="13"/>
  <c r="C18" i="10"/>
  <c r="C120" i="2"/>
  <c r="K256" i="1"/>
  <c r="K270" i="1" s="1"/>
  <c r="J256" i="1"/>
  <c r="J270" i="1" s="1"/>
  <c r="C123" i="2"/>
  <c r="G648" i="1"/>
  <c r="J648" i="1" s="1"/>
  <c r="C118" i="2"/>
  <c r="C117" i="2"/>
  <c r="F660" i="1"/>
  <c r="D126" i="2"/>
  <c r="D127" i="2" s="1"/>
  <c r="D144" i="2" s="1"/>
  <c r="G660" i="1"/>
  <c r="L361" i="1"/>
  <c r="G634" i="1" s="1"/>
  <c r="J634" i="1" s="1"/>
  <c r="H660" i="1"/>
  <c r="E127" i="2"/>
  <c r="G337" i="1"/>
  <c r="G351" i="1" s="1"/>
  <c r="C16" i="10"/>
  <c r="H661" i="1"/>
  <c r="C21" i="10"/>
  <c r="C121" i="2"/>
  <c r="E8" i="13"/>
  <c r="C8" i="13" s="1"/>
  <c r="D6" i="13"/>
  <c r="C6" i="13" s="1"/>
  <c r="C15" i="10"/>
  <c r="L246" i="1"/>
  <c r="H659" i="1" s="1"/>
  <c r="D7" i="13"/>
  <c r="C7" i="13" s="1"/>
  <c r="I661" i="1"/>
  <c r="C20" i="10"/>
  <c r="C17" i="10"/>
  <c r="G256" i="1"/>
  <c r="G270" i="1" s="1"/>
  <c r="C111" i="2"/>
  <c r="C109" i="2"/>
  <c r="L228" i="1"/>
  <c r="G659" i="1" s="1"/>
  <c r="F256" i="1"/>
  <c r="F270" i="1" s="1"/>
  <c r="I256" i="1"/>
  <c r="I270" i="1" s="1"/>
  <c r="H256" i="1"/>
  <c r="H270" i="1" s="1"/>
  <c r="C10" i="10"/>
  <c r="C122" i="2"/>
  <c r="C119" i="2"/>
  <c r="C108" i="2"/>
  <c r="D5" i="13"/>
  <c r="C5" i="13" s="1"/>
  <c r="L210" i="1"/>
  <c r="F659" i="1" s="1"/>
  <c r="C24" i="10"/>
  <c r="G31" i="13"/>
  <c r="G33" i="13" s="1"/>
  <c r="I337" i="1"/>
  <c r="I351" i="1" s="1"/>
  <c r="J649" i="1"/>
  <c r="L406" i="1"/>
  <c r="C139" i="2" s="1"/>
  <c r="C140" i="2" s="1"/>
  <c r="C143" i="2" s="1"/>
  <c r="I191" i="1"/>
  <c r="E90" i="2"/>
  <c r="E103" i="2" s="1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F33" i="13" s="1"/>
  <c r="J192" i="1"/>
  <c r="G645" i="1" s="1"/>
  <c r="F103" i="2"/>
  <c r="H192" i="1"/>
  <c r="G628" i="1" s="1"/>
  <c r="J628" i="1" s="1"/>
  <c r="G168" i="1"/>
  <c r="C39" i="10" s="1"/>
  <c r="G139" i="1"/>
  <c r="F139" i="1"/>
  <c r="F192" i="1" s="1"/>
  <c r="G626" i="1" s="1"/>
  <c r="J626" i="1" s="1"/>
  <c r="C36" i="10"/>
  <c r="G62" i="2"/>
  <c r="G103" i="2" s="1"/>
  <c r="J617" i="1"/>
  <c r="G42" i="2"/>
  <c r="J50" i="1"/>
  <c r="G16" i="2"/>
  <c r="J19" i="1"/>
  <c r="G620" i="1" s="1"/>
  <c r="G18" i="2"/>
  <c r="F544" i="1"/>
  <c r="H433" i="1"/>
  <c r="J619" i="1"/>
  <c r="J618" i="1"/>
  <c r="D102" i="2"/>
  <c r="D103" i="2" s="1"/>
  <c r="I139" i="1"/>
  <c r="I192" i="1" s="1"/>
  <c r="G629" i="1" s="1"/>
  <c r="J629" i="1" s="1"/>
  <c r="A22" i="12"/>
  <c r="G49" i="2"/>
  <c r="G50" i="2" s="1"/>
  <c r="J651" i="1"/>
  <c r="G570" i="1"/>
  <c r="I433" i="1"/>
  <c r="G433" i="1"/>
  <c r="I662" i="1"/>
  <c r="H645" i="1" l="1"/>
  <c r="J641" i="1"/>
  <c r="K551" i="1"/>
  <c r="C103" i="2"/>
  <c r="L337" i="1"/>
  <c r="L351" i="1" s="1"/>
  <c r="G632" i="1" s="1"/>
  <c r="J632" i="1" s="1"/>
  <c r="E144" i="2"/>
  <c r="H647" i="1"/>
  <c r="J647" i="1" s="1"/>
  <c r="C27" i="10"/>
  <c r="C28" i="10" s="1"/>
  <c r="D24" i="10" s="1"/>
  <c r="G663" i="1"/>
  <c r="G666" i="1" s="1"/>
  <c r="I660" i="1"/>
  <c r="H663" i="1"/>
  <c r="H671" i="1" s="1"/>
  <c r="C6" i="10" s="1"/>
  <c r="D31" i="13"/>
  <c r="C31" i="13" s="1"/>
  <c r="E33" i="13"/>
  <c r="D35" i="13" s="1"/>
  <c r="C114" i="2"/>
  <c r="C127" i="2"/>
  <c r="L256" i="1"/>
  <c r="L270" i="1" s="1"/>
  <c r="F663" i="1"/>
  <c r="I659" i="1"/>
  <c r="G630" i="1"/>
  <c r="J630" i="1" s="1"/>
  <c r="J645" i="1"/>
  <c r="G192" i="1"/>
  <c r="G627" i="1" s="1"/>
  <c r="J627" i="1" s="1"/>
  <c r="G625" i="1"/>
  <c r="J625" i="1" s="1"/>
  <c r="J51" i="1"/>
  <c r="H620" i="1" s="1"/>
  <c r="J620" i="1" s="1"/>
  <c r="C38" i="10"/>
  <c r="G631" i="1" l="1"/>
  <c r="F471" i="1"/>
  <c r="I663" i="1"/>
  <c r="I671" i="1" s="1"/>
  <c r="C7" i="10" s="1"/>
  <c r="G671" i="1"/>
  <c r="C5" i="10" s="1"/>
  <c r="H666" i="1"/>
  <c r="D33" i="13"/>
  <c r="D36" i="13" s="1"/>
  <c r="D23" i="10"/>
  <c r="D10" i="10"/>
  <c r="D15" i="10"/>
  <c r="C30" i="10"/>
  <c r="D20" i="10"/>
  <c r="D25" i="10"/>
  <c r="D26" i="10"/>
  <c r="D16" i="10"/>
  <c r="C144" i="2"/>
  <c r="D19" i="10"/>
  <c r="D13" i="10"/>
  <c r="D11" i="10"/>
  <c r="D21" i="10"/>
  <c r="D22" i="10"/>
  <c r="D27" i="10"/>
  <c r="D18" i="10"/>
  <c r="D17" i="10"/>
  <c r="D12" i="10"/>
  <c r="F666" i="1"/>
  <c r="F671" i="1"/>
  <c r="C4" i="10" s="1"/>
  <c r="C41" i="10"/>
  <c r="D38" i="10" s="1"/>
  <c r="F473" i="1" l="1"/>
  <c r="F475" i="1" s="1"/>
  <c r="H621" i="1" s="1"/>
  <c r="H631" i="1"/>
  <c r="J631" i="1"/>
  <c r="I666" i="1"/>
  <c r="D28" i="10"/>
  <c r="D37" i="10"/>
  <c r="D36" i="10"/>
  <c r="D35" i="10"/>
  <c r="D40" i="10"/>
  <c r="D39" i="10"/>
  <c r="J621" i="1" l="1"/>
  <c r="H655" i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<sst xmlns="http://schemas.openxmlformats.org/spreadsheetml/2006/main" count="3954" uniqueCount="920">
  <si>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</si>
  <si>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</si>
  <si>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</si>
  <si>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</si>
  <si>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</si>
  <si>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</si>
  <si>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</si>
  <si>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</si>
  <si>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</si>
  <si>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</si>
  <si>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</si>
  <si>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</si>
  <si>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</si>
  <si>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</si>
  <si>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</si>
  <si>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</si>
  <si>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</si>
  <si>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</si>
  <si>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</si>
  <si>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</si>
  <si>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</si>
  <si>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</si>
  <si>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</si>
  <si>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</si>
  <si>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</si>
  <si>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</si>
  <si>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</si>
  <si>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</si>
  <si>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</si>
  <si>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</si>
  <si>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</si>
  <si>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</si>
  <si>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</si>
  <si>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</si>
  <si>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</si>
  <si>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</si>
  <si>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</si>
  <si>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</si>
  <si>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</si>
  <si>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</si>
  <si>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</si>
  <si>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</si>
  <si>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</si>
  <si>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</si>
  <si>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</si>
  <si>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</si>
  <si>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</si>
  <si>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</si>
  <si>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</si>
  <si>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</si>
  <si>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</si>
  <si>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</si>
  <si>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</si>
  <si>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</si>
  <si>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</si>
  <si>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</si>
  <si>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</si>
  <si>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</si>
  <si>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</si>
  <si>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</si>
  <si>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</si>
  <si>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</si>
  <si>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</si>
  <si>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</si>
  <si>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</si>
  <si>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</si>
  <si>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</si>
  <si>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</si>
  <si>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</si>
  <si>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</si>
  <si>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</si>
  <si>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</si>
  <si>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</si>
  <si>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</si>
  <si>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</si>
  <si>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</si>
  <si>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</si>
  <si>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</si>
  <si>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</si>
  <si>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</si>
  <si>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</si>
  <si>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</si>
  <si>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</si>
  <si>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</si>
  <si>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</si>
  <si>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</si>
  <si>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</si>
  <si>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</si>
  <si>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</si>
  <si>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</si>
  <si>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</si>
  <si>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</si>
  <si>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</si>
  <si>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</si>
  <si>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</si>
  <si>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</si>
  <si>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</si>
  <si>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</si>
  <si>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</si>
  <si>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</si>
  <si>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</si>
  <si>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</si>
  <si>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</si>
  <si>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</si>
  <si>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</si>
  <si>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</si>
  <si>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</si>
  <si>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</si>
  <si>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</si>
  <si>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</si>
  <si>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</si>
  <si>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</si>
  <si>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</si>
  <si>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</si>
  <si>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</si>
  <si>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</si>
  <si>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</si>
  <si>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</si>
  <si>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</si>
  <si>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</si>
  <si>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</si>
  <si>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</si>
  <si>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</si>
  <si>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</si>
  <si>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</si>
  <si>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</si>
  <si>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</si>
  <si>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</si>
  <si>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</si>
  <si>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</si>
  <si>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</si>
  <si>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</si>
  <si>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</si>
  <si>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</si>
  <si>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</si>
  <si>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</si>
  <si>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</si>
  <si>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</si>
  <si>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</si>
  <si>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</si>
  <si>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</si>
  <si>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</si>
  <si>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</si>
  <si>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</si>
  <si>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</si>
  <si>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</si>
  <si>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</si>
  <si>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</si>
  <si>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</si>
  <si>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</si>
  <si>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</si>
  <si>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</si>
  <si>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</si>
  <si>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</si>
  <si>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</si>
  <si>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</si>
  <si>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</si>
  <si>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</si>
  <si>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</si>
  <si>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</si>
  <si>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</si>
  <si>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</si>
  <si>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</si>
  <si>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</si>
  <si>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</si>
  <si>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</si>
  <si>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</si>
  <si>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</si>
  <si>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</si>
  <si>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</si>
  <si>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</si>
  <si>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</si>
  <si>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</si>
  <si>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</si>
  <si>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</si>
  <si>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</si>
  <si>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</si>
  <si>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</si>
  <si>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</si>
  <si>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</si>
  <si>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</si>
  <si>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</si>
  <si>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</si>
  <si>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</si>
  <si>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</si>
  <si>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</si>
  <si>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</si>
  <si>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</si>
  <si>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</si>
  <si>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</si>
  <si>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</si>
  <si>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</si>
  <si>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</si>
  <si>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</si>
  <si>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</si>
  <si>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</si>
  <si>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</si>
  <si>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</si>
  <si>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</si>
  <si>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</si>
  <si>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</si>
  <si>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</si>
  <si>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</si>
  <si>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</si>
  <si>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</si>
  <si>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</si>
  <si>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</si>
  <si>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</si>
  <si>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</si>
  <si>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</si>
  <si>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</si>
  <si>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</si>
  <si>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</si>
  <si>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</si>
  <si>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</si>
  <si>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</si>
  <si>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</si>
  <si>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</si>
  <si>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</si>
  <si>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</si>
  <si>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</si>
  <si>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</si>
  <si>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</si>
  <si>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</si>
  <si>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</si>
  <si>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</si>
  <si>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</si>
  <si>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</si>
  <si>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</si>
  <si>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</si>
  <si>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</si>
  <si>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</si>
  <si>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</si>
  <si>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</si>
  <si>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</si>
  <si>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</si>
  <si>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</si>
  <si>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</si>
  <si>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</si>
  <si>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</si>
  <si>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</si>
  <si>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</si>
  <si>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</si>
  <si>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</si>
  <si>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</si>
  <si>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</si>
  <si>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</si>
  <si>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</si>
  <si>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</si>
  <si>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</si>
  <si>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</si>
  <si>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</si>
  <si>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</si>
  <si>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</si>
  <si>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</si>
  <si>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</si>
  <si>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</si>
  <si>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</si>
  <si>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</si>
  <si>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</si>
  <si>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</si>
  <si>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</si>
  <si>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</si>
  <si>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</si>
  <si>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</si>
  <si>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</si>
  <si>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</si>
  <si>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</si>
  <si>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</si>
  <si>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</si>
  <si>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</si>
  <si>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</si>
  <si>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</si>
  <si>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</si>
  <si>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</si>
  <si>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</si>
  <si>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</si>
  <si>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</si>
  <si>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</si>
  <si>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</si>
  <si>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</si>
  <si>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</si>
  <si>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</si>
  <si>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</si>
  <si>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</si>
  <si>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</si>
  <si>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</si>
  <si>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</si>
  <si>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</si>
  <si>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</si>
  <si>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</si>
  <si>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</si>
  <si>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</si>
  <si>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</si>
  <si>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</si>
  <si>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</si>
  <si>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</si>
  <si>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</si>
  <si>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</si>
  <si>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</si>
  <si>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</si>
  <si>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</si>
  <si>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</si>
  <si>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</si>
  <si>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</si>
  <si>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</si>
  <si>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</si>
  <si>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</si>
  <si>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</si>
  <si>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</si>
  <si>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</si>
  <si>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</si>
  <si>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</si>
  <si>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</si>
  <si>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</si>
  <si>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</si>
  <si>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</si>
  <si>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</si>
  <si>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</si>
  <si>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</si>
  <si>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</si>
  <si>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</si>
  <si>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</si>
  <si>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</si>
  <si>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</si>
  <si>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</si>
  <si>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</si>
  <si>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</si>
  <si>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</si>
  <si>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</si>
  <si>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</si>
  <si>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</si>
  <si>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</si>
  <si>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</si>
  <si>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</si>
  <si>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</si>
  <si>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</si>
  <si>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</si>
  <si>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</si>
  <si>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</si>
  <si>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</si>
  <si>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</si>
  <si>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</si>
  <si>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</si>
  <si>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</si>
  <si>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</si>
  <si>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</si>
  <si>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</si>
  <si>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</si>
  <si>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</si>
  <si>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</si>
  <si>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</si>
  <si>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</si>
  <si>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</si>
  <si>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</si>
  <si>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</si>
  <si>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</si>
  <si>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</si>
  <si>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</si>
  <si>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</si>
  <si>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</si>
  <si>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</si>
  <si>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</si>
  <si>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</si>
  <si>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</si>
  <si>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</si>
  <si>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</si>
  <si>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</si>
  <si>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</si>
  <si>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</si>
  <si>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</si>
  <si>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</si>
  <si>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</si>
  <si>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</si>
  <si>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</si>
  <si>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</si>
  <si>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</si>
  <si>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</si>
  <si>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</si>
  <si>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</si>
  <si>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</si>
  <si>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</si>
  <si>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</si>
  <si>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</si>
  <si>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</si>
  <si>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</si>
  <si>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</si>
  <si>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</si>
  <si>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</si>
  <si>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</si>
  <si>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</si>
  <si>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</si>
  <si>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</si>
  <si>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</si>
  <si>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</si>
  <si>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</si>
  <si>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</si>
  <si>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</si>
  <si>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</si>
  <si>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</si>
  <si>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</si>
  <si>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</si>
  <si>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</si>
  <si>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</si>
  <si>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</si>
  <si>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</si>
  <si>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</si>
  <si>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</si>
  <si>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</si>
  <si>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</si>
  <si>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</si>
  <si>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</si>
  <si>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</si>
  <si>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</si>
  <si>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</si>
  <si>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</si>
  <si>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</si>
  <si>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</si>
  <si>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</si>
  <si>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</si>
  <si>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</si>
  <si>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</si>
  <si>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</si>
  <si>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</si>
  <si>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</si>
  <si>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</si>
  <si>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</si>
  <si>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</si>
  <si>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</si>
  <si>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</si>
  <si>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</si>
  <si>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</si>
  <si>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</si>
  <si>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</si>
  <si>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</si>
  <si>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</si>
  <si>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</si>
  <si>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</si>
  <si>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</si>
  <si>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</si>
  <si>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</si>
  <si>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</si>
  <si>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</si>
  <si>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</si>
  <si>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</si>
  <si>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</si>
  <si>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</si>
  <si>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</si>
  <si>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</si>
  <si>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</si>
  <si>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</si>
  <si>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</si>
  <si>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</si>
  <si>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</si>
  <si>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</si>
  <si>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</si>
  <si>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</si>
  <si>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</si>
  <si>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</si>
  <si>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</si>
  <si>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</si>
  <si>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</si>
  <si>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</si>
  <si>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</si>
  <si>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</si>
  <si>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</si>
  <si>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</si>
  <si>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</si>
  <si>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</si>
  <si>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</si>
  <si>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</si>
  <si>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</si>
  <si>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</si>
  <si>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</si>
  <si>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</si>
  <si>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</si>
  <si>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</si>
  <si>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</si>
  <si>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</si>
  <si>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</si>
  <si>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</si>
  <si>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</si>
  <si>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</si>
  <si>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</si>
  <si>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</si>
  <si>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</si>
  <si>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</si>
  <si>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</si>
  <si>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</si>
  <si>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</si>
  <si>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</si>
  <si>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</si>
  <si>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</si>
  <si>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</si>
  <si>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</si>
  <si>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</si>
  <si>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</si>
  <si>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</si>
  <si>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</si>
  <si>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</si>
  <si>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</si>
  <si>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</si>
  <si>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</si>
  <si>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</si>
  <si>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</si>
  <si>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</si>
  <si>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</si>
  <si>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</si>
  <si>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</si>
  <si>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</si>
  <si>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</si>
  <si>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</si>
  <si>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</si>
  <si>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</si>
  <si>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</si>
  <si>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</si>
  <si>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</si>
  <si>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</si>
  <si>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</si>
  <si>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</si>
  <si>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</si>
  <si>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</si>
  <si>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</si>
  <si>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</si>
  <si>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</si>
  <si>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</si>
  <si>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</si>
  <si>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</si>
  <si>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</si>
  <si>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</si>
  <si>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</si>
  <si>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</si>
  <si>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</si>
  <si>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</si>
  <si>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</si>
  <si>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</si>
  <si>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</si>
  <si>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</si>
  <si>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</si>
  <si>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</si>
  <si>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</si>
  <si>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</si>
  <si>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</si>
  <si>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</si>
  <si>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</si>
  <si>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</si>
  <si>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</si>
  <si>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</si>
  <si>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</si>
  <si>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</si>
  <si>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</si>
  <si>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</si>
  <si>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</si>
  <si>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</si>
  <si>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</si>
  <si>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</si>
  <si>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</si>
  <si>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</si>
  <si>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</si>
  <si>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</si>
  <si>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</si>
  <si>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</si>
  <si>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</si>
  <si>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</si>
  <si>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</si>
  <si>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</si>
  <si>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</si>
  <si>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</si>
  <si>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</si>
  <si>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</si>
  <si>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</si>
  <si>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</si>
  <si>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</si>
  <si>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</si>
  <si>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</si>
  <si>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</si>
  <si>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</si>
  <si>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</si>
  <si>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</si>
  <si>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</si>
  <si>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</si>
  <si>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</si>
  <si>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</si>
  <si>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</si>
  <si>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</si>
  <si>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</si>
  <si>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</si>
  <si>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</si>
  <si>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</si>
  <si>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</si>
  <si>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</si>
  <si>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</si>
  <si>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</si>
  <si>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</si>
  <si>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</si>
  <si>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</si>
  <si>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</si>
  <si>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</si>
  <si>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</si>
  <si>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</si>
  <si>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</si>
  <si>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</si>
  <si>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</si>
  <si>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</si>
  <si>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</si>
  <si>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</si>
  <si>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</si>
  <si>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</si>
  <si>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</si>
  <si>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</si>
  <si>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</si>
  <si>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</si>
  <si>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</si>
  <si>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</si>
  <si>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</si>
  <si>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</si>
  <si>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</si>
  <si>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</si>
  <si>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</si>
  <si>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</si>
  <si>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</si>
  <si>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</si>
  <si>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</si>
  <si>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</si>
  <si>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</si>
  <si>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</si>
  <si>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</si>
  <si>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</si>
  <si>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</si>
  <si>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</si>
  <si>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</si>
  <si>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</si>
  <si>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</si>
  <si>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</si>
  <si>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</si>
  <si>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</si>
  <si>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</si>
  <si>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</si>
  <si>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</si>
  <si>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</si>
  <si>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</si>
  <si>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</si>
  <si>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</si>
  <si>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</si>
  <si>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</si>
  <si>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</si>
  <si>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</si>
  <si>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</si>
  <si>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</si>
  <si>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</si>
  <si>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</si>
  <si>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</si>
  <si>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</si>
  <si>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</si>
  <si>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</si>
  <si>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</si>
  <si>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</si>
  <si>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</si>
  <si>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</si>
  <si>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</si>
  <si>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</si>
  <si>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</si>
  <si>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</si>
  <si>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</si>
  <si>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</si>
  <si>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</si>
  <si>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</si>
  <si>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</si>
  <si>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</si>
  <si>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</si>
  <si>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</si>
  <si>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</si>
  <si>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</si>
  <si>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</si>
  <si>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</si>
  <si>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</si>
  <si>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</si>
  <si>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</si>
  <si>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</si>
  <si>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</si>
  <si>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</si>
  <si>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</si>
  <si>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</si>
  <si>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</si>
  <si>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</si>
  <si>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</si>
  <si>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</si>
  <si>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</si>
  <si>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</si>
  <si>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</si>
  <si>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</si>
  <si>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</si>
  <si>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</si>
  <si>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</si>
  <si>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</si>
  <si>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</si>
  <si>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</si>
  <si>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</si>
  <si>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</si>
  <si>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</si>
  <si>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</si>
  <si>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</si>
  <si>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</si>
  <si>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</si>
  <si>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</si>
  <si>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</si>
  <si>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</si>
  <si>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</si>
  <si>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</si>
  <si>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</si>
  <si>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</si>
  <si>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</si>
  <si>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</si>
  <si>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</si>
  <si>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</si>
  <si>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</si>
  <si>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</si>
  <si>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</si>
  <si>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</si>
  <si>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</si>
  <si>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</si>
  <si>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</si>
  <si>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</si>
  <si>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</si>
  <si>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</si>
  <si>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</si>
  <si>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</si>
  <si>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</si>
  <si>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</si>
  <si>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</si>
  <si>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</si>
  <si>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</si>
  <si>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</si>
  <si>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</si>
  <si>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</si>
  <si>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</si>
  <si>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</si>
  <si>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</si>
  <si>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</si>
  <si>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</si>
  <si>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</si>
  <si>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</si>
  <si>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</si>
  <si>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</si>
  <si>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</si>
  <si>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</si>
  <si>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</si>
  <si>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</si>
  <si>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</si>
  <si>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</si>
  <si>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</si>
  <si>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</si>
  <si>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</si>
  <si>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</si>
  <si>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</si>
  <si>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</si>
  <si>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</si>
  <si>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</si>
  <si>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</si>
  <si>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</si>
  <si>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</si>
  <si>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</si>
  <si>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</si>
  <si>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</si>
  <si>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</si>
  <si>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</si>
  <si>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</si>
  <si>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</si>
  <si>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</si>
  <si>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</si>
  <si>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</si>
  <si>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</si>
  <si>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</si>
  <si>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</si>
  <si>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</si>
  <si>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</si>
  <si>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</si>
  <si>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</si>
  <si>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</si>
  <si>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</si>
  <si>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</si>
  <si>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</si>
  <si>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</si>
  <si>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</si>
  <si>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</si>
  <si>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</si>
  <si>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</si>
  <si>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</si>
  <si>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</si>
  <si>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</si>
  <si>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</si>
  <si>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</si>
  <si>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</si>
  <si>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</si>
  <si>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</si>
  <si>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</si>
  <si>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</si>
  <si>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</si>
  <si>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</si>
  <si>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</si>
  <si>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</si>
  <si>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</si>
  <si>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</si>
  <si>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</si>
  <si>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</si>
  <si>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</si>
  <si>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</si>
  <si>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</si>
  <si>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</si>
  <si>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</si>
  <si>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</si>
  <si>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</si>
  <si>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</si>
  <si>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</si>
  <si>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</si>
  <si>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</si>
  <si>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</si>
  <si>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</si>
  <si>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</si>
  <si>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</si>
  <si>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</si>
  <si>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</si>
  <si>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</si>
  <si>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</si>
  <si>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</si>
  <si>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</si>
  <si>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</si>
  <si>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</si>
  <si>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</si>
  <si>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</si>
  <si>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</si>
  <si>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</si>
  <si>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</si>
  <si>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</si>
  <si>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</si>
  <si>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</si>
  <si>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</si>
  <si>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</si>
  <si>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</si>
  <si>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</si>
  <si>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</si>
  <si>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</si>
  <si>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</si>
  <si>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</si>
  <si>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</si>
  <si>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</si>
  <si>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</si>
  <si>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</si>
  <si>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</si>
  <si>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</si>
  <si>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</si>
  <si>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</si>
  <si>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</si>
  <si>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</si>
  <si>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</si>
  <si>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</si>
  <si>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</si>
  <si>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</si>
  <si>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</si>
  <si>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</si>
  <si>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</si>
  <si>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</si>
  <si>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</si>
  <si>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</si>
  <si>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</si>
  <si>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</si>
  <si>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</si>
  <si>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</si>
  <si>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</si>
  <si>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</si>
  <si>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</si>
  <si>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</si>
  <si>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</si>
  <si>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</si>
  <si>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</si>
  <si>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</si>
  <si>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</si>
  <si>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</si>
  <si>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</si>
  <si>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</si>
  <si>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</si>
  <si>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</si>
  <si>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</si>
  <si>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</si>
  <si>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</si>
  <si>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</si>
  <si>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</si>
  <si>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</si>
  <si>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</si>
  <si>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</si>
  <si>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</si>
  <si>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</si>
  <si>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</si>
  <si>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</si>
  <si>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</si>
  <si>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</si>
  <si>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</si>
  <si>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</si>
  <si>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</si>
  <si>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</si>
  <si>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</si>
  <si>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</si>
  <si>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</si>
  <si>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</si>
  <si>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</si>
  <si>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</si>
  <si>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</si>
  <si>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</si>
  <si>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</si>
  <si>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Goffstown</t>
  </si>
  <si>
    <t>10/10</t>
  </si>
  <si>
    <t>07/21</t>
  </si>
  <si>
    <t xml:space="preserve">Per DRA request, initial deposit into 2.5% contingency fund moved from interfund transfer (line J 178) to </t>
  </si>
  <si>
    <t>Various</t>
  </si>
  <si>
    <t>of Contingency Fund deposits with 2013-2014 DOE-25 reporting package.</t>
  </si>
  <si>
    <t>line F 47, Reserve for Special Purposes. DRA indicates that amount reporting should be addressed in 2013-2014 results.</t>
  </si>
  <si>
    <t xml:space="preserve"> DRA indicates DOE will provide formal reporting instructions for treatment</t>
  </si>
  <si>
    <t xml:space="preserve">Various </t>
  </si>
  <si>
    <t xml:space="preserve">Per DRA Request, initial deposit into 2.5% contingency fund ($275,000) moved from Reserve for Special Purposes directly </t>
  </si>
  <si>
    <t>into the Unreserved Fund Balance line.  Change processed 10/22/13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</si>
</sst>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199</v>
      </c>
      <c r="C2" s="21">
        <v>199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4032871.76+275000</f>
        <v>4307871.76</v>
      </c>
      <c r="G9" s="18">
        <v>155543.79999999999</v>
      </c>
      <c r="H9" s="18"/>
      <c r="I9" s="18">
        <v>5000.66</v>
      </c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>
        <v>13182.31</v>
      </c>
      <c r="H12" s="18">
        <v>121324.93</v>
      </c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>
        <v>6277.05</v>
      </c>
      <c r="I13" s="18"/>
      <c r="J13" s="67">
        <f>SUM(I441)</f>
        <v>294358.62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>
        <v>638.34</v>
      </c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45863.55</v>
      </c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24606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4378341.3099999996</v>
      </c>
      <c r="G19" s="41">
        <f>SUM(G9:G18)</f>
        <v>168726.11</v>
      </c>
      <c r="H19" s="41">
        <f>SUM(H9:H18)</f>
        <v>128240.31999999999</v>
      </c>
      <c r="I19" s="41">
        <f>SUM(I9:I18)</f>
        <v>5000.66</v>
      </c>
      <c r="J19" s="41">
        <f>SUM(J9:J18)</f>
        <v>294358.62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>
        <v>3595.44</v>
      </c>
      <c r="I23" s="18">
        <v>5000.66</v>
      </c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1012939+106.44</f>
        <v>1013045.44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90876.800000000003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-35.28+607838.22+10728.72</f>
        <v>618531.65999999992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19267.95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1015.75</v>
      </c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1723469.65</v>
      </c>
      <c r="G32" s="41">
        <f>SUM(G22:G31)</f>
        <v>0</v>
      </c>
      <c r="H32" s="41">
        <f>SUM(H22:H31)</f>
        <v>22863.39</v>
      </c>
      <c r="I32" s="41">
        <f>SUM(I22:I31)</f>
        <v>5000.66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45863.55</v>
      </c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24606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>
        <v>60226.23</v>
      </c>
      <c r="I47" s="18"/>
      <c r="J47" s="13">
        <f>SUM(I458)</f>
        <v>294358.62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1883345.61</v>
      </c>
      <c r="G48" s="18">
        <v>168726.11</v>
      </c>
      <c r="H48" s="18">
        <v>45150.7</v>
      </c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426056.5+275000</f>
        <v>701056.5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2654871.66</v>
      </c>
      <c r="G50" s="41">
        <f>SUM(G35:G49)</f>
        <v>168726.11</v>
      </c>
      <c r="H50" s="41">
        <f>SUM(H35:H49)</f>
        <v>105376.93</v>
      </c>
      <c r="I50" s="41">
        <f>SUM(I35:I49)</f>
        <v>0</v>
      </c>
      <c r="J50" s="41">
        <f>SUM(J35:J49)</f>
        <v>294358.62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4378341.3100000005</v>
      </c>
      <c r="G51" s="41">
        <f>G50+G32</f>
        <v>168726.11</v>
      </c>
      <c r="H51" s="41">
        <f>H50+H32</f>
        <v>128240.31999999999</v>
      </c>
      <c r="I51" s="41">
        <f>I50+I32</f>
        <v>5000.66</v>
      </c>
      <c r="J51" s="41">
        <f>J50+J32</f>
        <v>294358.62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16174883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16174883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44318.879999999997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>
        <v>28988</v>
      </c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6559555.1600000001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228434.95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6861296.9900000002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-976.81</v>
      </c>
      <c r="G95" s="18"/>
      <c r="H95" s="18"/>
      <c r="I95" s="18"/>
      <c r="J95" s="18"/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15918.66+24688.93+2345.6+805.75+6870.26+75026.71+2678.9+1312.5+5175.17+153405.6+8867.9+4569.75+56692.17+172816.7+4784.2+6230.25+175293.27</f>
        <v>717482.32000000007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>
        <f>1423.94+30575.14</f>
        <v>31999.079999999998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f>5380.9+344+165+1371.5</f>
        <v>7261.4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f>25229.32+2500+1500</f>
        <v>29229.32</v>
      </c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>
        <v>401</v>
      </c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322.64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13441.28+408.5+709.5+670.5+24223</f>
        <v>39452.78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46461.01</v>
      </c>
      <c r="G110" s="41">
        <f>SUM(G95:G109)</f>
        <v>717482.32000000007</v>
      </c>
      <c r="H110" s="41">
        <f>SUM(H95:H109)</f>
        <v>61228.399999999994</v>
      </c>
      <c r="I110" s="41">
        <f>SUM(I95:I109)</f>
        <v>0</v>
      </c>
      <c r="J110" s="41">
        <f>SUM(J95:J109)</f>
        <v>0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23082641.000000004</v>
      </c>
      <c r="G111" s="41">
        <f>G59+G110</f>
        <v>717482.32000000007</v>
      </c>
      <c r="H111" s="41">
        <f>H59+H78+H93+H110</f>
        <v>61228.399999999994</v>
      </c>
      <c r="I111" s="41">
        <f>I59+I110</f>
        <v>0</v>
      </c>
      <c r="J111" s="41">
        <f>J59+J110</f>
        <v>0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7123509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3217126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10340635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397938.55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371339.13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17953.64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11228.81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787231.32</v>
      </c>
      <c r="G135" s="41">
        <f>SUM(G122:G134)</f>
        <v>11228.81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11127866.32</v>
      </c>
      <c r="G139" s="41">
        <f>G120+SUM(G135:G136)</f>
        <v>11228.81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250431.81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299943.3-2844.45+4471.23+13537.41</f>
        <v>315107.48999999993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f>17825.64+4358.52+9433.05+22590.5+2953.5+41569.95+6554.78+36393.18+3654.92</f>
        <v>145334.04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252371.09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252371.09</v>
      </c>
      <c r="G161" s="41">
        <f>SUM(G149:G160)</f>
        <v>145334.04</v>
      </c>
      <c r="H161" s="41">
        <f>SUM(H149:H160)</f>
        <v>565539.29999999993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>
        <f>4540.23+6149.65+13762.25+14618.87</f>
        <v>39071</v>
      </c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252371.09</v>
      </c>
      <c r="G168" s="41">
        <f>G146+G161+SUM(G162:G167)</f>
        <v>184405.04</v>
      </c>
      <c r="H168" s="41">
        <f>H146+H161+SUM(H162:H167)</f>
        <v>565539.29999999993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/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34462878.410000011</v>
      </c>
      <c r="G192" s="47">
        <f>G111+G139+G168+G191</f>
        <v>913116.17000000016</v>
      </c>
      <c r="H192" s="47">
        <f>H111+H139+H168+H191</f>
        <v>626767.69999999995</v>
      </c>
      <c r="I192" s="47">
        <f>I111+I139+I168+I191</f>
        <v>0</v>
      </c>
      <c r="J192" s="47">
        <f>J111+J139+J191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128131.62+2535799.74</f>
        <v>2663931.3600000003</v>
      </c>
      <c r="G196" s="18">
        <f>28590.6+1152013.6</f>
        <v>1180604.2000000002</v>
      </c>
      <c r="H196" s="18">
        <f>144.43+74317.95</f>
        <v>74462.37999999999</v>
      </c>
      <c r="I196" s="18">
        <f>1206.77+119609.2</f>
        <v>120815.97</v>
      </c>
      <c r="J196" s="18">
        <f>943.91+15626.13</f>
        <v>16570.04</v>
      </c>
      <c r="K196" s="18"/>
      <c r="L196" s="19">
        <f>SUM(F196:K196)</f>
        <v>4056383.9500000007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285126.45+35579+630123.29</f>
        <v>950828.74</v>
      </c>
      <c r="G197" s="18">
        <f>111695.02+14612.43+352395.5</f>
        <v>478702.95</v>
      </c>
      <c r="H197" s="18">
        <f>681536.21+396.99+2128.14+262</f>
        <v>684323.34</v>
      </c>
      <c r="I197" s="18">
        <f>795+11242.4</f>
        <v>12037.4</v>
      </c>
      <c r="J197" s="18">
        <v>1824.12</v>
      </c>
      <c r="K197" s="18"/>
      <c r="L197" s="19">
        <f>SUM(F197:K197)</f>
        <v>2127716.5499999998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f>26081.25+600</f>
        <v>26681.25</v>
      </c>
      <c r="G199" s="18">
        <f>4495.31+51.36</f>
        <v>4546.67</v>
      </c>
      <c r="H199" s="18"/>
      <c r="I199" s="18">
        <v>1875</v>
      </c>
      <c r="J199" s="18"/>
      <c r="K199" s="18"/>
      <c r="L199" s="19">
        <f>SUM(F199:K199)</f>
        <v>33102.92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8293.32+398364.67</f>
        <v>406657.99</v>
      </c>
      <c r="G201" s="18">
        <f>663.06+162791.51</f>
        <v>163454.57</v>
      </c>
      <c r="H201" s="18">
        <v>4051.63</v>
      </c>
      <c r="I201" s="18">
        <f>5139.13+883.08+13418.15</f>
        <v>19440.36</v>
      </c>
      <c r="J201" s="18">
        <v>236.07</v>
      </c>
      <c r="K201" s="18"/>
      <c r="L201" s="19">
        <f t="shared" ref="L201:L207" si="0">SUM(F201:K201)</f>
        <v>593840.62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63726.88+112712.28+19</f>
        <v>176458.16</v>
      </c>
      <c r="G202" s="18">
        <f>22761.23+34402.15</f>
        <v>57163.380000000005</v>
      </c>
      <c r="H202" s="18">
        <v>10353.719999999999</v>
      </c>
      <c r="I202" s="18">
        <v>14932.37</v>
      </c>
      <c r="J202" s="18">
        <v>824.52</v>
      </c>
      <c r="K202" s="18"/>
      <c r="L202" s="19">
        <f t="shared" si="0"/>
        <v>259732.15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5867.41+440.12+264.07</f>
        <v>6571.5999999999995</v>
      </c>
      <c r="G203" s="18">
        <f>623.6+37.79+22.8</f>
        <v>684.18999999999994</v>
      </c>
      <c r="H203" s="18">
        <f>13011.85+830.21+2787.43+7066.15+329674.35</f>
        <v>353369.99</v>
      </c>
      <c r="I203" s="18">
        <v>763.81</v>
      </c>
      <c r="J203" s="18"/>
      <c r="K203" s="18">
        <v>2979.2</v>
      </c>
      <c r="L203" s="19">
        <f t="shared" si="0"/>
        <v>364368.79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458065.91999999998</v>
      </c>
      <c r="G204" s="18">
        <v>200643.97</v>
      </c>
      <c r="H204" s="18">
        <f>3304.96+27969.18</f>
        <v>31274.14</v>
      </c>
      <c r="I204" s="18">
        <v>2955.73</v>
      </c>
      <c r="J204" s="18"/>
      <c r="K204" s="18">
        <v>1516</v>
      </c>
      <c r="L204" s="19">
        <f t="shared" si="0"/>
        <v>694455.76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>
        <v>440.12</v>
      </c>
      <c r="L205" s="19">
        <f t="shared" si="0"/>
        <v>440.12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41174.8+167409.5</f>
        <v>208584.3</v>
      </c>
      <c r="G206" s="18">
        <f>17940.79+92573.46</f>
        <v>110514.25</v>
      </c>
      <c r="H206" s="18">
        <f>30682.7+8802.4+218885.45</f>
        <v>258370.55000000002</v>
      </c>
      <c r="I206" s="18">
        <f>1234.1+1173.65+208508.14</f>
        <v>210915.89</v>
      </c>
      <c r="J206" s="18">
        <v>8735.39</v>
      </c>
      <c r="K206" s="18"/>
      <c r="L206" s="19">
        <f t="shared" si="0"/>
        <v>797120.38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580406+1300.37</f>
        <v>581706.37</v>
      </c>
      <c r="I207" s="18"/>
      <c r="J207" s="18"/>
      <c r="K207" s="18"/>
      <c r="L207" s="19">
        <f t="shared" si="0"/>
        <v>581706.37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>
        <v>2513.81</v>
      </c>
      <c r="H208" s="18"/>
      <c r="I208" s="18"/>
      <c r="J208" s="18"/>
      <c r="K208" s="18"/>
      <c r="L208" s="19">
        <f>SUM(F208:K208)</f>
        <v>2513.81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4897779.32</v>
      </c>
      <c r="G210" s="41">
        <f t="shared" si="1"/>
        <v>2198827.9899999998</v>
      </c>
      <c r="H210" s="41">
        <f t="shared" si="1"/>
        <v>1997912.12</v>
      </c>
      <c r="I210" s="41">
        <f t="shared" si="1"/>
        <v>383736.53</v>
      </c>
      <c r="J210" s="41">
        <f t="shared" si="1"/>
        <v>28190.14</v>
      </c>
      <c r="K210" s="41">
        <f t="shared" si="1"/>
        <v>4935.32</v>
      </c>
      <c r="L210" s="41">
        <f t="shared" si="1"/>
        <v>9511381.4199999999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f>132284.75+2795171.35</f>
        <v>2927456.1</v>
      </c>
      <c r="G214" s="18">
        <f>29517.31+1196629.9</f>
        <v>1226147.21</v>
      </c>
      <c r="H214" s="18">
        <f>149.11+70703.13</f>
        <v>70852.240000000005</v>
      </c>
      <c r="I214" s="18">
        <f>1245.89+155909.01</f>
        <v>157154.90000000002</v>
      </c>
      <c r="J214" s="18">
        <f>974.51+22599.25</f>
        <v>23573.759999999998</v>
      </c>
      <c r="K214" s="18">
        <v>156</v>
      </c>
      <c r="L214" s="19">
        <f>SUM(F214:K214)</f>
        <v>4405340.21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f>142563.22+17789.5+1017783.62</f>
        <v>1178136.3400000001</v>
      </c>
      <c r="G215" s="18">
        <f>55847.51+7306.22+594996.87</f>
        <v>658150.6</v>
      </c>
      <c r="H215" s="18">
        <f>340768.11+198.49+1676.3</f>
        <v>342642.89999999997</v>
      </c>
      <c r="I215" s="18">
        <f>397.5+14063.56</f>
        <v>14461.06</v>
      </c>
      <c r="J215" s="18">
        <v>6617.09</v>
      </c>
      <c r="K215" s="18"/>
      <c r="L215" s="19">
        <f>SUM(F215:K215)</f>
        <v>2200007.9899999998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128166.33</v>
      </c>
      <c r="G217" s="18">
        <v>25229.22</v>
      </c>
      <c r="H217" s="18">
        <v>5737</v>
      </c>
      <c r="I217" s="18">
        <v>2554.39</v>
      </c>
      <c r="J217" s="18"/>
      <c r="K217" s="18">
        <v>12996</v>
      </c>
      <c r="L217" s="19">
        <f>SUM(F217:K217)</f>
        <v>174682.94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f>8562.13+320101+5077</f>
        <v>333740.13</v>
      </c>
      <c r="G219" s="18">
        <f>684.55+130453.61</f>
        <v>131138.16</v>
      </c>
      <c r="H219" s="18">
        <f>911.7+4515</f>
        <v>5426.7</v>
      </c>
      <c r="I219" s="18">
        <v>5305.71</v>
      </c>
      <c r="J219" s="18"/>
      <c r="K219" s="18"/>
      <c r="L219" s="19">
        <f t="shared" ref="L219:L225" si="2">SUM(F219:K219)</f>
        <v>475610.70000000007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f>31863.44+62747-5046</f>
        <v>89564.44</v>
      </c>
      <c r="G220" s="18">
        <f>11380.61+32847.96</f>
        <v>44228.57</v>
      </c>
      <c r="H220" s="18">
        <f>10689.32+5045.64+1136</f>
        <v>16870.96</v>
      </c>
      <c r="I220" s="18">
        <v>18088.27</v>
      </c>
      <c r="J220" s="18">
        <v>665.92</v>
      </c>
      <c r="K220" s="18"/>
      <c r="L220" s="19">
        <f t="shared" si="2"/>
        <v>169418.16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f>6057.59+454.39+272.63</f>
        <v>6784.6100000000006</v>
      </c>
      <c r="G221" s="18">
        <f>611.06+39.02+23.54</f>
        <v>673.61999999999989</v>
      </c>
      <c r="H221" s="18">
        <f>13433.61+857.12+350533.02</f>
        <v>364823.75</v>
      </c>
      <c r="I221" s="18">
        <v>788.56</v>
      </c>
      <c r="J221" s="18"/>
      <c r="K221" s="18">
        <v>3075.76</v>
      </c>
      <c r="L221" s="19">
        <f t="shared" si="2"/>
        <v>376146.3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476723.76</v>
      </c>
      <c r="G222" s="18">
        <v>199487.78</v>
      </c>
      <c r="H222" s="18">
        <f>3412.08+17393.46</f>
        <v>20805.54</v>
      </c>
      <c r="I222" s="18">
        <v>3464.59</v>
      </c>
      <c r="J222" s="18"/>
      <c r="K222" s="18">
        <v>1943.56</v>
      </c>
      <c r="L222" s="19">
        <f t="shared" si="2"/>
        <v>702425.2300000001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>
        <v>454.39</v>
      </c>
      <c r="L223" s="19">
        <f t="shared" si="2"/>
        <v>454.39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f>42509.4+221772.01</f>
        <v>264281.41000000003</v>
      </c>
      <c r="G224" s="18">
        <f>18522.3+125889.17</f>
        <v>144411.47</v>
      </c>
      <c r="H224" s="18">
        <f>31677.22+9087.71+194679.05</f>
        <v>235443.97999999998</v>
      </c>
      <c r="I224" s="18">
        <f>1274.1+1211.69+275226.98</f>
        <v>277712.76999999996</v>
      </c>
      <c r="J224" s="18">
        <v>23813.599999999999</v>
      </c>
      <c r="K224" s="18"/>
      <c r="L224" s="19">
        <f t="shared" si="2"/>
        <v>945663.22999999986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f>441151.95+16000</f>
        <v>457151.95</v>
      </c>
      <c r="I225" s="18"/>
      <c r="J225" s="18"/>
      <c r="K225" s="18"/>
      <c r="L225" s="19">
        <f t="shared" si="2"/>
        <v>457151.95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>
        <v>2595.29</v>
      </c>
      <c r="H226" s="18"/>
      <c r="I226" s="18"/>
      <c r="J226" s="18"/>
      <c r="K226" s="18"/>
      <c r="L226" s="19">
        <f>SUM(F226:K226)</f>
        <v>2595.29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5404853.120000001</v>
      </c>
      <c r="G228" s="41">
        <f>SUM(G214:G227)</f>
        <v>2432061.9200000004</v>
      </c>
      <c r="H228" s="41">
        <f>SUM(H214:H227)</f>
        <v>1519755.02</v>
      </c>
      <c r="I228" s="41">
        <f>SUM(I214:I227)</f>
        <v>479530.25</v>
      </c>
      <c r="J228" s="41">
        <f>SUM(J214:J227)</f>
        <v>54670.369999999995</v>
      </c>
      <c r="K228" s="41">
        <f t="shared" si="3"/>
        <v>18625.71</v>
      </c>
      <c r="L228" s="41">
        <f t="shared" si="3"/>
        <v>9909496.3899999987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f>176277.12+4115995.68</f>
        <v>4292272.8</v>
      </c>
      <c r="G232" s="18">
        <f>39333.53+1900612.1</f>
        <v>1939945.6300000001</v>
      </c>
      <c r="H232" s="18">
        <f>198.7+121548.18</f>
        <v>121746.87999999999</v>
      </c>
      <c r="I232" s="18">
        <f>1660.22+177444.99</f>
        <v>179105.21</v>
      </c>
      <c r="J232" s="18">
        <f>1298.58+48455.57</f>
        <v>49754.15</v>
      </c>
      <c r="K232" s="18">
        <v>992</v>
      </c>
      <c r="L232" s="19">
        <f>SUM(F232:K232)</f>
        <v>6583816.6699999999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f>142563.22+17789.5+1141384.25</f>
        <v>1301736.97</v>
      </c>
      <c r="G233" s="18">
        <f>55847.51+7306.22+594860.98</f>
        <v>658014.71</v>
      </c>
      <c r="H233" s="18">
        <f>340768.11+198.49</f>
        <v>340966.6</v>
      </c>
      <c r="I233" s="18">
        <f>397.5+15737.04</f>
        <v>16134.54</v>
      </c>
      <c r="J233" s="18">
        <v>989.5</v>
      </c>
      <c r="K233" s="18"/>
      <c r="L233" s="19">
        <f>SUM(F233:K233)</f>
        <v>2317842.3199999998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v>146120.43</v>
      </c>
      <c r="I234" s="18"/>
      <c r="J234" s="18"/>
      <c r="K234" s="18"/>
      <c r="L234" s="19">
        <f>SUM(F234:K234)</f>
        <v>146120.43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192249.5</v>
      </c>
      <c r="G235" s="18">
        <v>37843.83</v>
      </c>
      <c r="H235" s="18">
        <v>97701.68</v>
      </c>
      <c r="I235" s="18">
        <f>29760.97</f>
        <v>29760.97</v>
      </c>
      <c r="J235" s="18">
        <v>3963.6</v>
      </c>
      <c r="K235" s="18">
        <v>14901.5</v>
      </c>
      <c r="L235" s="19">
        <f>SUM(F235:K235)</f>
        <v>376421.07999999996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f>11409.54+606754.4</f>
        <v>618163.94000000006</v>
      </c>
      <c r="G237" s="18">
        <f>912.2+299787.79</f>
        <v>300699.99</v>
      </c>
      <c r="H237" s="18">
        <f>1214.9+5590</f>
        <v>6804.9</v>
      </c>
      <c r="I237" s="18">
        <f>7070.16+15041.52</f>
        <v>22111.68</v>
      </c>
      <c r="J237" s="18">
        <v>249.5</v>
      </c>
      <c r="K237" s="18">
        <v>825</v>
      </c>
      <c r="L237" s="19">
        <f t="shared" ref="L237:L243" si="4">SUM(F237:K237)</f>
        <v>948855.01000000013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f>31863.44+65274.14</f>
        <v>97137.58</v>
      </c>
      <c r="G238" s="18">
        <f>11380.61+47759.55</f>
        <v>59140.160000000003</v>
      </c>
      <c r="H238" s="18">
        <v>14244.14</v>
      </c>
      <c r="I238" s="18">
        <v>49736.9</v>
      </c>
      <c r="J238" s="18">
        <v>4085.57</v>
      </c>
      <c r="K238" s="18"/>
      <c r="L238" s="19">
        <f t="shared" si="4"/>
        <v>224344.35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f>8072.09+605.49+363.3</f>
        <v>9040.8799999999992</v>
      </c>
      <c r="G239" s="18">
        <f>804.04+52+31.36</f>
        <v>887.4</v>
      </c>
      <c r="H239" s="18">
        <f>17901.06+1142.17</f>
        <v>19043.230000000003</v>
      </c>
      <c r="I239" s="18">
        <f>1050.81+467105.63</f>
        <v>468156.44</v>
      </c>
      <c r="J239" s="18"/>
      <c r="K239" s="18">
        <v>4098.6400000000003</v>
      </c>
      <c r="L239" s="19">
        <f t="shared" si="4"/>
        <v>501226.59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422081.28000000003</v>
      </c>
      <c r="G240" s="18">
        <v>223173.21</v>
      </c>
      <c r="H240" s="18">
        <f>4546.79+55378.93</f>
        <v>59925.72</v>
      </c>
      <c r="I240" s="18">
        <v>3789.7</v>
      </c>
      <c r="J240" s="18">
        <v>341.5</v>
      </c>
      <c r="K240" s="18">
        <v>15700.82</v>
      </c>
      <c r="L240" s="19">
        <f t="shared" si="4"/>
        <v>725012.22999999986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>
        <v>605.49</v>
      </c>
      <c r="L241" s="19">
        <f t="shared" si="4"/>
        <v>605.49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f>56646.25+323046.92</f>
        <v>379693.17</v>
      </c>
      <c r="G242" s="18">
        <f>24682.04+162756.98</f>
        <v>187439.02000000002</v>
      </c>
      <c r="H242" s="18">
        <f>42211.73+12109.9+187334.78</f>
        <v>241656.41</v>
      </c>
      <c r="I242" s="18">
        <f>1697.81+1614.65+516289.59</f>
        <v>519602.05000000005</v>
      </c>
      <c r="J242" s="18">
        <v>11227.19</v>
      </c>
      <c r="K242" s="18"/>
      <c r="L242" s="19">
        <f t="shared" si="4"/>
        <v>1339617.8399999999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f>538494.3+133728.05</f>
        <v>672222.35000000009</v>
      </c>
      <c r="I243" s="18"/>
      <c r="J243" s="18"/>
      <c r="K243" s="18"/>
      <c r="L243" s="19">
        <f t="shared" si="4"/>
        <v>672222.35000000009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>
        <v>3458.37</v>
      </c>
      <c r="H244" s="18"/>
      <c r="I244" s="18"/>
      <c r="J244" s="18"/>
      <c r="K244" s="18"/>
      <c r="L244" s="19">
        <f>SUM(F244:K244)</f>
        <v>3458.37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7312376.1200000001</v>
      </c>
      <c r="G246" s="41">
        <f t="shared" si="5"/>
        <v>3410602.3200000003</v>
      </c>
      <c r="H246" s="41">
        <f t="shared" si="5"/>
        <v>1720432.3399999999</v>
      </c>
      <c r="I246" s="41">
        <f t="shared" si="5"/>
        <v>1288397.49</v>
      </c>
      <c r="J246" s="41">
        <f t="shared" si="5"/>
        <v>70611.009999999995</v>
      </c>
      <c r="K246" s="41">
        <f t="shared" si="5"/>
        <v>37123.449999999997</v>
      </c>
      <c r="L246" s="41">
        <f t="shared" si="5"/>
        <v>13839542.729999999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>
        <v>59800</v>
      </c>
      <c r="G250" s="18">
        <v>7088.65</v>
      </c>
      <c r="H250" s="18">
        <v>500</v>
      </c>
      <c r="I250" s="18">
        <v>996.5</v>
      </c>
      <c r="J250" s="18"/>
      <c r="K250" s="18"/>
      <c r="L250" s="19">
        <f t="shared" si="6"/>
        <v>68385.149999999994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59800</v>
      </c>
      <c r="G255" s="41">
        <f t="shared" si="7"/>
        <v>7088.65</v>
      </c>
      <c r="H255" s="41">
        <f t="shared" si="7"/>
        <v>500</v>
      </c>
      <c r="I255" s="41">
        <f t="shared" si="7"/>
        <v>996.5</v>
      </c>
      <c r="J255" s="41">
        <f t="shared" si="7"/>
        <v>0</v>
      </c>
      <c r="K255" s="41">
        <f t="shared" si="7"/>
        <v>0</v>
      </c>
      <c r="L255" s="41">
        <f>SUM(F255:K255)</f>
        <v>68385.149999999994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17674808.560000002</v>
      </c>
      <c r="G256" s="41">
        <f t="shared" si="8"/>
        <v>8048580.8800000008</v>
      </c>
      <c r="H256" s="41">
        <f t="shared" si="8"/>
        <v>5238599.4800000004</v>
      </c>
      <c r="I256" s="41">
        <f t="shared" si="8"/>
        <v>2152660.77</v>
      </c>
      <c r="J256" s="41">
        <f t="shared" si="8"/>
        <v>153471.51999999999</v>
      </c>
      <c r="K256" s="41">
        <f t="shared" si="8"/>
        <v>60684.479999999996</v>
      </c>
      <c r="L256" s="41">
        <f t="shared" si="8"/>
        <v>33328805.689999998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640000</v>
      </c>
      <c r="L259" s="19">
        <f>SUM(F259:K259)</f>
        <v>640000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197100</v>
      </c>
      <c r="L260" s="19">
        <f>SUM(F260:K260)</f>
        <v>197100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837100</v>
      </c>
      <c r="L269" s="41">
        <f t="shared" si="9"/>
        <v>837100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17674808.560000002</v>
      </c>
      <c r="G270" s="42">
        <f t="shared" si="11"/>
        <v>8048580.8800000008</v>
      </c>
      <c r="H270" s="42">
        <f t="shared" si="11"/>
        <v>5238599.4800000004</v>
      </c>
      <c r="I270" s="42">
        <f t="shared" si="11"/>
        <v>2152660.77</v>
      </c>
      <c r="J270" s="42">
        <f t="shared" si="11"/>
        <v>153471.51999999999</v>
      </c>
      <c r="K270" s="42">
        <f t="shared" si="11"/>
        <v>897784.48</v>
      </c>
      <c r="L270" s="42">
        <f t="shared" si="11"/>
        <v>34165905.689999998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6625+140239.24</f>
        <v>146864.24</v>
      </c>
      <c r="G275" s="18">
        <f>713.54+68644.44</f>
        <v>69357.98</v>
      </c>
      <c r="H275" s="18">
        <f>5522.34+6200</f>
        <v>11722.34</v>
      </c>
      <c r="I275" s="18">
        <f>7861.18+1503</f>
        <v>9364.18</v>
      </c>
      <c r="J275" s="18">
        <v>39659.949999999997</v>
      </c>
      <c r="K275" s="18"/>
      <c r="L275" s="19">
        <f>SUM(F275:K275)</f>
        <v>276968.68999999994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7955.78+74309</f>
        <v>82264.78</v>
      </c>
      <c r="G276" s="18">
        <f>18536.76+3744.22</f>
        <v>22280.98</v>
      </c>
      <c r="H276" s="18"/>
      <c r="I276" s="18"/>
      <c r="J276" s="18"/>
      <c r="K276" s="18"/>
      <c r="L276" s="19">
        <f>SUM(F276:K276)</f>
        <v>104545.76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f>80109.77+1722</f>
        <v>81831.77</v>
      </c>
      <c r="G281" s="18">
        <f>9041.37+252.64</f>
        <v>9294.01</v>
      </c>
      <c r="H281" s="18">
        <v>30905.46</v>
      </c>
      <c r="I281" s="18">
        <v>6905.08</v>
      </c>
      <c r="J281" s="18"/>
      <c r="K281" s="18"/>
      <c r="L281" s="19">
        <f t="shared" si="12"/>
        <v>128936.31999999999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310960.78999999998</v>
      </c>
      <c r="G289" s="42">
        <f t="shared" si="13"/>
        <v>100932.96999999999</v>
      </c>
      <c r="H289" s="42">
        <f t="shared" si="13"/>
        <v>42627.8</v>
      </c>
      <c r="I289" s="42">
        <f t="shared" si="13"/>
        <v>16269.26</v>
      </c>
      <c r="J289" s="42">
        <f t="shared" si="13"/>
        <v>39659.949999999997</v>
      </c>
      <c r="K289" s="42">
        <f t="shared" si="13"/>
        <v>0</v>
      </c>
      <c r="L289" s="41">
        <f t="shared" si="13"/>
        <v>510450.76999999996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f>8213.65+137626.47</f>
        <v>145840.12</v>
      </c>
      <c r="G295" s="18">
        <f>3865.87+79442.63</f>
        <v>83308.5</v>
      </c>
      <c r="H295" s="18"/>
      <c r="I295" s="18"/>
      <c r="J295" s="18"/>
      <c r="K295" s="18"/>
      <c r="L295" s="19">
        <f>SUM(F295:K295)</f>
        <v>229148.62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>
        <v>3701.9</v>
      </c>
      <c r="G297" s="18">
        <v>655.24</v>
      </c>
      <c r="H297" s="18"/>
      <c r="I297" s="18"/>
      <c r="J297" s="18"/>
      <c r="K297" s="18">
        <v>-500</v>
      </c>
      <c r="L297" s="19">
        <f>SUM(F297:K297)</f>
        <v>3857.1400000000003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16423.16</v>
      </c>
      <c r="G300" s="18">
        <v>3665.74</v>
      </c>
      <c r="H300" s="18">
        <v>7381.79</v>
      </c>
      <c r="I300" s="18">
        <v>3425.53</v>
      </c>
      <c r="J300" s="18"/>
      <c r="K300" s="18"/>
      <c r="L300" s="19">
        <f t="shared" si="14"/>
        <v>30896.22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>
        <v>2075</v>
      </c>
      <c r="I304" s="18"/>
      <c r="J304" s="18"/>
      <c r="K304" s="18"/>
      <c r="L304" s="19">
        <f t="shared" si="14"/>
        <v>2075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165965.18</v>
      </c>
      <c r="G308" s="42">
        <f t="shared" si="15"/>
        <v>87629.48000000001</v>
      </c>
      <c r="H308" s="42">
        <f t="shared" si="15"/>
        <v>9456.7900000000009</v>
      </c>
      <c r="I308" s="42">
        <f t="shared" si="15"/>
        <v>3425.53</v>
      </c>
      <c r="J308" s="42">
        <f t="shared" si="15"/>
        <v>0</v>
      </c>
      <c r="K308" s="42">
        <f t="shared" si="15"/>
        <v>-500</v>
      </c>
      <c r="L308" s="41">
        <f t="shared" si="15"/>
        <v>265976.98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f>10945.17+89714.89</f>
        <v>100660.06</v>
      </c>
      <c r="G314" s="18">
        <f>5151.49+30463.93</f>
        <v>35615.42</v>
      </c>
      <c r="H314" s="18"/>
      <c r="I314" s="18"/>
      <c r="J314" s="18"/>
      <c r="K314" s="18"/>
      <c r="L314" s="19">
        <f>SUM(F314:K314)</f>
        <v>136275.47999999998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v>9923.07</v>
      </c>
      <c r="G316" s="18">
        <v>926.22</v>
      </c>
      <c r="H316" s="18"/>
      <c r="I316" s="18"/>
      <c r="J316" s="18"/>
      <c r="K316" s="18"/>
      <c r="L316" s="19">
        <f>SUM(F316:K316)</f>
        <v>10849.289999999999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>
        <v>804.43</v>
      </c>
      <c r="J318" s="18">
        <v>1064</v>
      </c>
      <c r="K318" s="18"/>
      <c r="L318" s="19">
        <f t="shared" ref="L318:L324" si="16">SUM(F318:K318)</f>
        <v>1868.4299999999998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f>16423.16+1700</f>
        <v>18123.16</v>
      </c>
      <c r="G319" s="18">
        <v>3666.17</v>
      </c>
      <c r="H319" s="18">
        <f>7381.79+2005</f>
        <v>9386.7900000000009</v>
      </c>
      <c r="I319" s="18">
        <f>3425.53+807.93</f>
        <v>4233.46</v>
      </c>
      <c r="J319" s="18"/>
      <c r="K319" s="18"/>
      <c r="L319" s="19">
        <f t="shared" si="16"/>
        <v>35409.58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>
        <v>2296</v>
      </c>
      <c r="I323" s="18"/>
      <c r="J323" s="18"/>
      <c r="K323" s="18"/>
      <c r="L323" s="19">
        <f t="shared" si="16"/>
        <v>2296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128706.29000000001</v>
      </c>
      <c r="G327" s="42">
        <f t="shared" si="17"/>
        <v>40207.81</v>
      </c>
      <c r="H327" s="42">
        <f t="shared" si="17"/>
        <v>11682.79</v>
      </c>
      <c r="I327" s="42">
        <f t="shared" si="17"/>
        <v>5037.8900000000003</v>
      </c>
      <c r="J327" s="42">
        <f t="shared" si="17"/>
        <v>1064</v>
      </c>
      <c r="K327" s="42">
        <f t="shared" si="17"/>
        <v>0</v>
      </c>
      <c r="L327" s="41">
        <f t="shared" si="17"/>
        <v>186698.77999999997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>
        <v>6512.5</v>
      </c>
      <c r="G332" s="18">
        <v>882.1</v>
      </c>
      <c r="H332" s="18">
        <v>2674</v>
      </c>
      <c r="I332" s="18">
        <v>347.62</v>
      </c>
      <c r="J332" s="18">
        <v>13927.94</v>
      </c>
      <c r="K332" s="18"/>
      <c r="L332" s="19">
        <f t="shared" si="18"/>
        <v>24344.160000000003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>
        <f>1197.09+27150</f>
        <v>28347.09</v>
      </c>
      <c r="G334" s="18">
        <f>226.85+4587.66</f>
        <v>4814.51</v>
      </c>
      <c r="H334" s="18">
        <v>1200</v>
      </c>
      <c r="I334" s="18"/>
      <c r="J334" s="18"/>
      <c r="K334" s="18"/>
      <c r="L334" s="19">
        <f t="shared" si="18"/>
        <v>34361.599999999999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34859.589999999997</v>
      </c>
      <c r="G336" s="41">
        <f t="shared" si="19"/>
        <v>5696.6100000000006</v>
      </c>
      <c r="H336" s="41">
        <f t="shared" si="19"/>
        <v>3874</v>
      </c>
      <c r="I336" s="41">
        <f t="shared" si="19"/>
        <v>347.62</v>
      </c>
      <c r="J336" s="41">
        <f t="shared" si="19"/>
        <v>13927.94</v>
      </c>
      <c r="K336" s="41">
        <f t="shared" si="19"/>
        <v>0</v>
      </c>
      <c r="L336" s="41">
        <f t="shared" si="18"/>
        <v>58705.760000000002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640491.85</v>
      </c>
      <c r="G337" s="41">
        <f t="shared" si="20"/>
        <v>234466.87</v>
      </c>
      <c r="H337" s="41">
        <f t="shared" si="20"/>
        <v>67641.38</v>
      </c>
      <c r="I337" s="41">
        <f t="shared" si="20"/>
        <v>25080.3</v>
      </c>
      <c r="J337" s="41">
        <f t="shared" si="20"/>
        <v>54651.89</v>
      </c>
      <c r="K337" s="41">
        <f t="shared" si="20"/>
        <v>-500</v>
      </c>
      <c r="L337" s="41">
        <f t="shared" si="20"/>
        <v>1021832.29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>
        <v>186.86</v>
      </c>
      <c r="L343" s="19">
        <f t="shared" ref="L343:L349" si="21">SUM(F343:K343)</f>
        <v>186.86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186.86</v>
      </c>
      <c r="L350" s="41">
        <f>SUM(L340:L349)</f>
        <v>186.86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640491.85</v>
      </c>
      <c r="G351" s="41">
        <f>G337</f>
        <v>234466.87</v>
      </c>
      <c r="H351" s="41">
        <f>H337</f>
        <v>67641.38</v>
      </c>
      <c r="I351" s="41">
        <f>I337</f>
        <v>25080.3</v>
      </c>
      <c r="J351" s="41">
        <f>J337</f>
        <v>54651.89</v>
      </c>
      <c r="K351" s="47">
        <f>K337+K350</f>
        <v>-313.14</v>
      </c>
      <c r="L351" s="41">
        <f>L337+L350</f>
        <v>1022019.15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f>16562.44+81836.17</f>
        <v>98398.61</v>
      </c>
      <c r="G357" s="18">
        <f>9651.31+20189.62</f>
        <v>29840.93</v>
      </c>
      <c r="H357" s="18">
        <f>477.21+5859.87</f>
        <v>6337.08</v>
      </c>
      <c r="I357" s="18">
        <f>679.46+95222.6</f>
        <v>95902.060000000012</v>
      </c>
      <c r="J357" s="18">
        <v>600</v>
      </c>
      <c r="K357" s="18">
        <f>1322.15+100.5</f>
        <v>1422.65</v>
      </c>
      <c r="L357" s="13">
        <f>SUM(F357:K357)</f>
        <v>232501.33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f>17099.28+86979.62</f>
        <v>104078.9</v>
      </c>
      <c r="G358" s="18">
        <f>9964.14+36783.63</f>
        <v>46747.77</v>
      </c>
      <c r="H358" s="18">
        <f>492.68+7154.65</f>
        <v>7647.33</v>
      </c>
      <c r="I358" s="18">
        <f>701.48+130572.16</f>
        <v>131273.64000000001</v>
      </c>
      <c r="J358" s="18">
        <v>4648</v>
      </c>
      <c r="K358" s="18">
        <f>1365+35.25</f>
        <v>1400.25</v>
      </c>
      <c r="L358" s="19">
        <f>SUM(F358:K358)</f>
        <v>295795.89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f>22785.78+114554.87</f>
        <v>137340.65</v>
      </c>
      <c r="G359" s="18">
        <f>13277.79+51506.01</f>
        <v>64783.8</v>
      </c>
      <c r="H359" s="18">
        <f>656.52+6273.32</f>
        <v>6929.84</v>
      </c>
      <c r="I359" s="18">
        <f>934.76+207366.24</f>
        <v>208301</v>
      </c>
      <c r="J359" s="18"/>
      <c r="K359" s="18">
        <f>1818.95+137.25</f>
        <v>1956.2</v>
      </c>
      <c r="L359" s="19">
        <f>SUM(F359:K359)</f>
        <v>419311.49000000005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339818.16000000003</v>
      </c>
      <c r="G361" s="47">
        <f t="shared" si="22"/>
        <v>141372.5</v>
      </c>
      <c r="H361" s="47">
        <f t="shared" si="22"/>
        <v>20914.25</v>
      </c>
      <c r="I361" s="47">
        <f t="shared" si="22"/>
        <v>435476.7</v>
      </c>
      <c r="J361" s="47">
        <f t="shared" si="22"/>
        <v>5248</v>
      </c>
      <c r="K361" s="47">
        <f t="shared" si="22"/>
        <v>4779.1000000000004</v>
      </c>
      <c r="L361" s="47">
        <f t="shared" si="22"/>
        <v>947608.71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89172.15</v>
      </c>
      <c r="G366" s="18">
        <v>121033.25</v>
      </c>
      <c r="H366" s="18">
        <v>193028.04</v>
      </c>
      <c r="I366" s="56">
        <f>SUM(F366:H366)</f>
        <v>403233.44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f>I357-F366</f>
        <v>6729.910000000018</v>
      </c>
      <c r="G367" s="63">
        <f>I358-G366</f>
        <v>10240.390000000014</v>
      </c>
      <c r="H367" s="63">
        <f>I359-H366</f>
        <v>15272.959999999992</v>
      </c>
      <c r="I367" s="56">
        <f>SUM(F367:H367)</f>
        <v>32243.260000000024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95902.060000000012</v>
      </c>
      <c r="G368" s="47">
        <f>SUM(G366:G367)</f>
        <v>131273.64000000001</v>
      </c>
      <c r="H368" s="47">
        <f>SUM(H366:H367)</f>
        <v>208301</v>
      </c>
      <c r="I368" s="47">
        <f>SUM(I366:I367)</f>
        <v>435476.7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>
        <v>1367.89</v>
      </c>
      <c r="I377" s="18"/>
      <c r="J377" s="18"/>
      <c r="K377" s="18"/>
      <c r="L377" s="13">
        <f t="shared" si="23"/>
        <v>1367.89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1367.89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1367.89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0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0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0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>
        <v>294358.62</v>
      </c>
      <c r="G441" s="18"/>
      <c r="H441" s="18"/>
      <c r="I441" s="56">
        <f t="shared" si="33"/>
        <v>294358.62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294358.62</v>
      </c>
      <c r="G445" s="13">
        <f>SUM(G438:G444)</f>
        <v>0</v>
      </c>
      <c r="H445" s="13">
        <f>SUM(H438:H444)</f>
        <v>0</v>
      </c>
      <c r="I445" s="13">
        <f>SUM(I438:I444)</f>
        <v>294358.62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294358.62</v>
      </c>
      <c r="G458" s="18"/>
      <c r="H458" s="18"/>
      <c r="I458" s="56">
        <f t="shared" si="34"/>
        <v>294358.62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294358.62</v>
      </c>
      <c r="G459" s="83">
        <f>SUM(G453:G458)</f>
        <v>0</v>
      </c>
      <c r="H459" s="83">
        <f>SUM(H453:H458)</f>
        <v>0</v>
      </c>
      <c r="I459" s="83">
        <f>SUM(I453:I458)</f>
        <v>294358.62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294358.62</v>
      </c>
      <c r="G460" s="42">
        <f>G451+G459</f>
        <v>0</v>
      </c>
      <c r="H460" s="42">
        <f>H451+H459</f>
        <v>0</v>
      </c>
      <c r="I460" s="42">
        <f>I451+I459</f>
        <v>294358.62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2357898.94</v>
      </c>
      <c r="G464" s="18">
        <f>200585.62+2633.03</f>
        <v>203218.65</v>
      </c>
      <c r="H464" s="18">
        <v>500628.38</v>
      </c>
      <c r="I464" s="18">
        <v>1367.89</v>
      </c>
      <c r="J464" s="18">
        <v>294358.62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F192</f>
        <v>34462878.410000011</v>
      </c>
      <c r="G467" s="18">
        <f>G192</f>
        <v>913116.17000000016</v>
      </c>
      <c r="H467" s="18">
        <f>H192</f>
        <v>626767.69999999995</v>
      </c>
      <c r="I467" s="18"/>
      <c r="J467" s="18"/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34462878.410000011</v>
      </c>
      <c r="G469" s="53">
        <f>SUM(G467:G468)</f>
        <v>913116.17000000016</v>
      </c>
      <c r="H469" s="53">
        <f>SUM(H467:H468)</f>
        <v>626767.69999999995</v>
      </c>
      <c r="I469" s="53">
        <f>SUM(I467:I468)</f>
        <v>0</v>
      </c>
      <c r="J469" s="53">
        <f>SUM(J467:J468)</f>
        <v>0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L270</f>
        <v>34165905.689999998</v>
      </c>
      <c r="G471" s="18">
        <f>L361</f>
        <v>947608.71</v>
      </c>
      <c r="H471" s="18">
        <f>L351</f>
        <v>1022019.15</v>
      </c>
      <c r="I471" s="18">
        <f>L381</f>
        <v>1367.89</v>
      </c>
      <c r="J471" s="18">
        <f>L433</f>
        <v>0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34165905.689999998</v>
      </c>
      <c r="G473" s="53">
        <f>SUM(G471:G472)</f>
        <v>947608.71</v>
      </c>
      <c r="H473" s="53">
        <f>SUM(H471:H472)</f>
        <v>1022019.15</v>
      </c>
      <c r="I473" s="53">
        <f>SUM(I471:I472)</f>
        <v>1367.89</v>
      </c>
      <c r="J473" s="53">
        <f>SUM(J471:J472)</f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2654871.6600000113</v>
      </c>
      <c r="G475" s="53">
        <f>(G464+G469)- G473</f>
        <v>168726.1100000001</v>
      </c>
      <c r="H475" s="53">
        <f>(H464+H469)- H473</f>
        <v>105376.93000000005</v>
      </c>
      <c r="I475" s="53">
        <f>(I464+I469)- I473</f>
        <v>0</v>
      </c>
      <c r="J475" s="53">
        <f>(J464+J469)- J473</f>
        <v>294358.62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10</v>
      </c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6015000</v>
      </c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3.68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5365000</v>
      </c>
      <c r="G494" s="18"/>
      <c r="H494" s="18"/>
      <c r="I494" s="18"/>
      <c r="J494" s="18"/>
      <c r="K494" s="53">
        <f>SUM(F494:J494)</f>
        <v>5365000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640000</v>
      </c>
      <c r="G496" s="18"/>
      <c r="H496" s="18"/>
      <c r="I496" s="18"/>
      <c r="J496" s="18"/>
      <c r="K496" s="53">
        <f t="shared" si="35"/>
        <v>640000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f>F494-F496</f>
        <v>4725000</v>
      </c>
      <c r="G497" s="204"/>
      <c r="H497" s="204"/>
      <c r="I497" s="204"/>
      <c r="J497" s="204"/>
      <c r="K497" s="205">
        <f t="shared" si="35"/>
        <v>4725000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f>1117281-K260</f>
        <v>920181</v>
      </c>
      <c r="G498" s="18"/>
      <c r="H498" s="18"/>
      <c r="I498" s="18"/>
      <c r="J498" s="18"/>
      <c r="K498" s="53">
        <f t="shared" si="35"/>
        <v>920181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5645181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5645181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625000</v>
      </c>
      <c r="G500" s="204"/>
      <c r="H500" s="204"/>
      <c r="I500" s="204"/>
      <c r="J500" s="204"/>
      <c r="K500" s="205">
        <f t="shared" si="35"/>
        <v>625000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182700</v>
      </c>
      <c r="G501" s="18"/>
      <c r="H501" s="18"/>
      <c r="I501" s="18"/>
      <c r="J501" s="18"/>
      <c r="K501" s="53">
        <f t="shared" si="35"/>
        <v>182700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807700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807700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F197+F276</f>
        <v>1033093.52</v>
      </c>
      <c r="G520" s="18">
        <f t="shared" ref="G520:K520" si="36">G197+G276</f>
        <v>500983.93</v>
      </c>
      <c r="H520" s="18">
        <f t="shared" si="36"/>
        <v>684323.34</v>
      </c>
      <c r="I520" s="18">
        <f t="shared" si="36"/>
        <v>12037.4</v>
      </c>
      <c r="J520" s="18">
        <f t="shared" si="36"/>
        <v>1824.12</v>
      </c>
      <c r="K520" s="18">
        <f t="shared" si="36"/>
        <v>0</v>
      </c>
      <c r="L520" s="88">
        <f>SUM(F520:K520)</f>
        <v>2232262.31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f>F215+F295</f>
        <v>1323976.46</v>
      </c>
      <c r="G521" s="18">
        <f t="shared" ref="G521:K521" si="37">G215+G295</f>
        <v>741459.1</v>
      </c>
      <c r="H521" s="18">
        <f t="shared" si="37"/>
        <v>342642.89999999997</v>
      </c>
      <c r="I521" s="18">
        <f t="shared" si="37"/>
        <v>14461.06</v>
      </c>
      <c r="J521" s="18">
        <f t="shared" si="37"/>
        <v>6617.09</v>
      </c>
      <c r="K521" s="18">
        <f t="shared" si="37"/>
        <v>0</v>
      </c>
      <c r="L521" s="88">
        <f>SUM(F521:K521)</f>
        <v>2429156.61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f>F233+F314</f>
        <v>1402397.03</v>
      </c>
      <c r="G522" s="18">
        <f t="shared" ref="G522:K522" si="38">G233+G314</f>
        <v>693630.13</v>
      </c>
      <c r="H522" s="18">
        <f t="shared" si="38"/>
        <v>340966.6</v>
      </c>
      <c r="I522" s="18">
        <f t="shared" si="38"/>
        <v>16134.54</v>
      </c>
      <c r="J522" s="18">
        <f t="shared" si="38"/>
        <v>989.5</v>
      </c>
      <c r="K522" s="18">
        <f t="shared" si="38"/>
        <v>0</v>
      </c>
      <c r="L522" s="88">
        <f>SUM(F522:K522)</f>
        <v>2454117.8000000003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3759467.01</v>
      </c>
      <c r="G523" s="108">
        <f t="shared" ref="G523:L523" si="39">SUM(G520:G522)</f>
        <v>1936073.1600000001</v>
      </c>
      <c r="H523" s="108">
        <f t="shared" si="39"/>
        <v>1367932.8399999999</v>
      </c>
      <c r="I523" s="108">
        <f t="shared" si="39"/>
        <v>42633</v>
      </c>
      <c r="J523" s="108">
        <f t="shared" si="39"/>
        <v>9430.7099999999991</v>
      </c>
      <c r="K523" s="108">
        <f t="shared" si="39"/>
        <v>0</v>
      </c>
      <c r="L523" s="89">
        <f t="shared" si="39"/>
        <v>7115536.7200000007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128822.52</v>
      </c>
      <c r="G525" s="18">
        <v>53730.33</v>
      </c>
      <c r="H525" s="18"/>
      <c r="I525" s="18"/>
      <c r="J525" s="18"/>
      <c r="K525" s="18"/>
      <c r="L525" s="88">
        <f>SUM(F525:K525)</f>
        <v>182552.85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79727</v>
      </c>
      <c r="G526" s="18">
        <v>34994.559999999998</v>
      </c>
      <c r="H526" s="18"/>
      <c r="I526" s="18"/>
      <c r="J526" s="18"/>
      <c r="K526" s="18"/>
      <c r="L526" s="88">
        <f>SUM(F526:K526)</f>
        <v>114721.56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83392.56</v>
      </c>
      <c r="G527" s="18">
        <v>15206.69</v>
      </c>
      <c r="H527" s="18"/>
      <c r="I527" s="18"/>
      <c r="J527" s="18"/>
      <c r="K527" s="18"/>
      <c r="L527" s="88">
        <f>SUM(F527:K527)</f>
        <v>98599.25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291942.08</v>
      </c>
      <c r="G528" s="89">
        <f t="shared" ref="G528:L528" si="40">SUM(G525:G527)</f>
        <v>103931.58</v>
      </c>
      <c r="H528" s="89">
        <f t="shared" si="40"/>
        <v>0</v>
      </c>
      <c r="I528" s="89">
        <f t="shared" si="40"/>
        <v>0</v>
      </c>
      <c r="J528" s="89">
        <f t="shared" si="40"/>
        <v>0</v>
      </c>
      <c r="K528" s="89">
        <f t="shared" si="40"/>
        <v>0</v>
      </c>
      <c r="L528" s="89">
        <f t="shared" si="40"/>
        <v>395873.66000000003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22727.13</v>
      </c>
      <c r="G530" s="18">
        <v>8712.06</v>
      </c>
      <c r="H530" s="18"/>
      <c r="I530" s="18"/>
      <c r="J530" s="18"/>
      <c r="K530" s="18"/>
      <c r="L530" s="88">
        <f>SUM(F530:K530)</f>
        <v>31439.190000000002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27954.83</v>
      </c>
      <c r="G531" s="18">
        <v>7823.74</v>
      </c>
      <c r="H531" s="18"/>
      <c r="I531" s="18"/>
      <c r="J531" s="18"/>
      <c r="K531" s="18"/>
      <c r="L531" s="88">
        <f>SUM(F531:K531)</f>
        <v>35778.57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33868.160000000003</v>
      </c>
      <c r="G532" s="18">
        <v>9619.75</v>
      </c>
      <c r="H532" s="18"/>
      <c r="I532" s="18"/>
      <c r="J532" s="18"/>
      <c r="K532" s="18"/>
      <c r="L532" s="88">
        <f>SUM(F532:K532)</f>
        <v>43487.91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84550.12000000001</v>
      </c>
      <c r="G533" s="89">
        <f t="shared" ref="G533:L533" si="41">SUM(G530:G532)</f>
        <v>26155.55</v>
      </c>
      <c r="H533" s="89">
        <f t="shared" si="41"/>
        <v>0</v>
      </c>
      <c r="I533" s="89">
        <f t="shared" si="41"/>
        <v>0</v>
      </c>
      <c r="J533" s="89">
        <f t="shared" si="41"/>
        <v>0</v>
      </c>
      <c r="K533" s="89">
        <f t="shared" si="41"/>
        <v>0</v>
      </c>
      <c r="L533" s="89">
        <f t="shared" si="41"/>
        <v>110705.67000000001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42">SUM(G535:G537)</f>
        <v>0</v>
      </c>
      <c r="H538" s="89">
        <f t="shared" si="42"/>
        <v>0</v>
      </c>
      <c r="I538" s="89">
        <f t="shared" si="42"/>
        <v>0</v>
      </c>
      <c r="J538" s="89">
        <f t="shared" si="42"/>
        <v>0</v>
      </c>
      <c r="K538" s="89">
        <f t="shared" si="42"/>
        <v>0</v>
      </c>
      <c r="L538" s="89">
        <f t="shared" si="42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283770</v>
      </c>
      <c r="I540" s="18"/>
      <c r="J540" s="18"/>
      <c r="K540" s="18"/>
      <c r="L540" s="88">
        <f>SUM(F540:K540)</f>
        <v>283770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141885</v>
      </c>
      <c r="I541" s="18"/>
      <c r="J541" s="18"/>
      <c r="K541" s="18"/>
      <c r="L541" s="88">
        <f>SUM(F541:K541)</f>
        <v>141885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141885</v>
      </c>
      <c r="I542" s="18"/>
      <c r="J542" s="18"/>
      <c r="K542" s="18"/>
      <c r="L542" s="88">
        <f>SUM(F542:K542)</f>
        <v>141885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3">SUM(G540:G542)</f>
        <v>0</v>
      </c>
      <c r="H543" s="193">
        <f t="shared" si="43"/>
        <v>567540</v>
      </c>
      <c r="I543" s="193">
        <f t="shared" si="43"/>
        <v>0</v>
      </c>
      <c r="J543" s="193">
        <f t="shared" si="43"/>
        <v>0</v>
      </c>
      <c r="K543" s="193">
        <f t="shared" si="43"/>
        <v>0</v>
      </c>
      <c r="L543" s="193">
        <f t="shared" si="43"/>
        <v>567540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4135959.21</v>
      </c>
      <c r="G544" s="89">
        <f t="shared" ref="G544:L544" si="44">G523+G528+G533+G538+G543</f>
        <v>2066160.2900000003</v>
      </c>
      <c r="H544" s="89">
        <f t="shared" si="44"/>
        <v>1935472.8399999999</v>
      </c>
      <c r="I544" s="89">
        <f t="shared" si="44"/>
        <v>42633</v>
      </c>
      <c r="J544" s="89">
        <f t="shared" si="44"/>
        <v>9430.7099999999991</v>
      </c>
      <c r="K544" s="89">
        <f t="shared" si="44"/>
        <v>0</v>
      </c>
      <c r="L544" s="89">
        <f t="shared" si="44"/>
        <v>8189656.0500000007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2232262.31</v>
      </c>
      <c r="G548" s="87">
        <f>L525</f>
        <v>182552.85</v>
      </c>
      <c r="H548" s="87">
        <f>L530</f>
        <v>31439.190000000002</v>
      </c>
      <c r="I548" s="87">
        <f>L535</f>
        <v>0</v>
      </c>
      <c r="J548" s="87">
        <f>L540</f>
        <v>283770</v>
      </c>
      <c r="K548" s="87">
        <f>SUM(F548:J548)</f>
        <v>2730024.35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2429156.61</v>
      </c>
      <c r="G549" s="87">
        <f>L526</f>
        <v>114721.56</v>
      </c>
      <c r="H549" s="87">
        <f>L531</f>
        <v>35778.57</v>
      </c>
      <c r="I549" s="87">
        <f>L536</f>
        <v>0</v>
      </c>
      <c r="J549" s="87">
        <f>L541</f>
        <v>141885</v>
      </c>
      <c r="K549" s="87">
        <f>SUM(F549:J549)</f>
        <v>2721541.7399999998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2454117.8000000003</v>
      </c>
      <c r="G550" s="87">
        <f>L527</f>
        <v>98599.25</v>
      </c>
      <c r="H550" s="87">
        <f>L532</f>
        <v>43487.91</v>
      </c>
      <c r="I550" s="87">
        <f>L537</f>
        <v>0</v>
      </c>
      <c r="J550" s="87">
        <f>L542</f>
        <v>141885</v>
      </c>
      <c r="K550" s="87">
        <f>SUM(F550:J550)</f>
        <v>2738089.9600000004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5">SUM(F548:F550)</f>
        <v>7115536.7200000007</v>
      </c>
      <c r="G551" s="89">
        <f t="shared" si="45"/>
        <v>395873.66000000003</v>
      </c>
      <c r="H551" s="89">
        <f t="shared" si="45"/>
        <v>110705.67000000001</v>
      </c>
      <c r="I551" s="89">
        <f t="shared" si="45"/>
        <v>0</v>
      </c>
      <c r="J551" s="89">
        <f t="shared" si="45"/>
        <v>567540</v>
      </c>
      <c r="K551" s="89">
        <f t="shared" si="45"/>
        <v>8189656.0500000007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6">SUM(F556:F558)</f>
        <v>0</v>
      </c>
      <c r="G559" s="108">
        <f t="shared" si="46"/>
        <v>0</v>
      </c>
      <c r="H559" s="108">
        <f t="shared" si="46"/>
        <v>0</v>
      </c>
      <c r="I559" s="108">
        <f t="shared" si="46"/>
        <v>0</v>
      </c>
      <c r="J559" s="108">
        <f t="shared" si="46"/>
        <v>0</v>
      </c>
      <c r="K559" s="108">
        <f t="shared" si="46"/>
        <v>0</v>
      </c>
      <c r="L559" s="89">
        <f t="shared" si="46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35579</v>
      </c>
      <c r="G561" s="18">
        <v>14612.43</v>
      </c>
      <c r="H561" s="18">
        <v>396.99</v>
      </c>
      <c r="I561" s="18">
        <v>795</v>
      </c>
      <c r="J561" s="18"/>
      <c r="K561" s="18"/>
      <c r="L561" s="88">
        <f>SUM(F561:K561)</f>
        <v>51383.42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v>17789.5</v>
      </c>
      <c r="G562" s="18">
        <v>7306.22</v>
      </c>
      <c r="H562" s="18">
        <v>198.49</v>
      </c>
      <c r="I562" s="18">
        <v>397.5</v>
      </c>
      <c r="J562" s="18"/>
      <c r="K562" s="18"/>
      <c r="L562" s="88">
        <f>SUM(F562:K562)</f>
        <v>25691.710000000003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v>17789.5</v>
      </c>
      <c r="G563" s="18">
        <v>7306.22</v>
      </c>
      <c r="H563" s="18">
        <v>198.49</v>
      </c>
      <c r="I563" s="18">
        <v>397.5</v>
      </c>
      <c r="J563" s="18"/>
      <c r="K563" s="18"/>
      <c r="L563" s="88">
        <f>SUM(F563:K563)</f>
        <v>25691.710000000003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7">SUM(F561:F563)</f>
        <v>71158</v>
      </c>
      <c r="G564" s="89">
        <f t="shared" si="47"/>
        <v>29224.870000000003</v>
      </c>
      <c r="H564" s="89">
        <f t="shared" si="47"/>
        <v>793.97</v>
      </c>
      <c r="I564" s="89">
        <f t="shared" si="47"/>
        <v>1590</v>
      </c>
      <c r="J564" s="89">
        <f t="shared" si="47"/>
        <v>0</v>
      </c>
      <c r="K564" s="89">
        <f t="shared" si="47"/>
        <v>0</v>
      </c>
      <c r="L564" s="89">
        <f t="shared" si="47"/>
        <v>102766.84000000001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8">SUM(G566:G568)</f>
        <v>0</v>
      </c>
      <c r="H569" s="193">
        <f t="shared" si="48"/>
        <v>0</v>
      </c>
      <c r="I569" s="193">
        <f t="shared" si="48"/>
        <v>0</v>
      </c>
      <c r="J569" s="193">
        <f t="shared" si="48"/>
        <v>0</v>
      </c>
      <c r="K569" s="193">
        <f t="shared" si="48"/>
        <v>0</v>
      </c>
      <c r="L569" s="193">
        <f t="shared" si="48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71158</v>
      </c>
      <c r="G570" s="89">
        <f t="shared" ref="G570:L570" si="49">G559+G564+G569</f>
        <v>29224.870000000003</v>
      </c>
      <c r="H570" s="89">
        <f t="shared" si="49"/>
        <v>793.97</v>
      </c>
      <c r="I570" s="89">
        <f t="shared" si="49"/>
        <v>1590</v>
      </c>
      <c r="J570" s="89">
        <f t="shared" si="49"/>
        <v>0</v>
      </c>
      <c r="K570" s="89">
        <f t="shared" si="49"/>
        <v>0</v>
      </c>
      <c r="L570" s="89">
        <f t="shared" si="49"/>
        <v>102766.84000000001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50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50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50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4907.51</v>
      </c>
      <c r="G578" s="18"/>
      <c r="H578" s="18"/>
      <c r="I578" s="87">
        <f t="shared" si="50"/>
        <v>4907.51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50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50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536886.05000000005</v>
      </c>
      <c r="G581" s="18">
        <f>268443.03-20500</f>
        <v>247943.03000000003</v>
      </c>
      <c r="H581" s="18">
        <f>268443.03+20500</f>
        <v>288943.03000000003</v>
      </c>
      <c r="I581" s="87">
        <f t="shared" si="50"/>
        <v>1073772.1100000001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50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146120.43</v>
      </c>
      <c r="I583" s="87">
        <f t="shared" si="50"/>
        <v>146120.43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50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50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50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283518.11</v>
      </c>
      <c r="I590" s="18">
        <v>292707.77</v>
      </c>
      <c r="J590" s="18">
        <f>390050.12+11184.45</f>
        <v>401234.57</v>
      </c>
      <c r="K590" s="104">
        <f t="shared" ref="K590:K596" si="51">SUM(H590:J590)</f>
        <v>977460.45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f>H540</f>
        <v>283770</v>
      </c>
      <c r="I591" s="18">
        <f>H541</f>
        <v>141885</v>
      </c>
      <c r="J591" s="18">
        <f>H542</f>
        <v>141885</v>
      </c>
      <c r="K591" s="104">
        <f t="shared" si="51"/>
        <v>567540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61605</v>
      </c>
      <c r="K592" s="104">
        <f t="shared" si="51"/>
        <v>61605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14000</v>
      </c>
      <c r="J593" s="18">
        <v>56390.55</v>
      </c>
      <c r="K593" s="104">
        <f t="shared" si="51"/>
        <v>70390.55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1300</v>
      </c>
      <c r="I594" s="18">
        <v>729.2</v>
      </c>
      <c r="J594" s="18">
        <v>2798.15</v>
      </c>
      <c r="K594" s="104">
        <f t="shared" si="51"/>
        <v>4827.3500000000004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51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>
        <v>13118.26</v>
      </c>
      <c r="I596" s="18">
        <v>7829.98</v>
      </c>
      <c r="J596" s="18">
        <v>8309.08</v>
      </c>
      <c r="K596" s="104">
        <f t="shared" si="51"/>
        <v>29257.32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581706.37</v>
      </c>
      <c r="I597" s="108">
        <f>SUM(I590:I596)</f>
        <v>457151.95</v>
      </c>
      <c r="J597" s="108">
        <f>SUM(J590:J596)</f>
        <v>672222.35000000009</v>
      </c>
      <c r="K597" s="108">
        <f>SUM(K590:K596)</f>
        <v>1711080.6700000002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27246.23+39659.95</f>
        <v>66906.179999999993</v>
      </c>
      <c r="I603" s="18">
        <v>53695.86</v>
      </c>
      <c r="J603" s="18">
        <v>87521.37</v>
      </c>
      <c r="K603" s="104">
        <f>SUM(H603:J603)</f>
        <v>208123.40999999997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66906.179999999993</v>
      </c>
      <c r="I604" s="108">
        <f>SUM(I601:I603)</f>
        <v>53695.86</v>
      </c>
      <c r="J604" s="108">
        <f>SUM(J601:J603)</f>
        <v>87521.37</v>
      </c>
      <c r="K604" s="108">
        <f>SUM(K601:K603)</f>
        <v>208123.40999999997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52">SUM(F610:F612)</f>
        <v>0</v>
      </c>
      <c r="G613" s="108">
        <f t="shared" si="52"/>
        <v>0</v>
      </c>
      <c r="H613" s="108">
        <f t="shared" si="52"/>
        <v>0</v>
      </c>
      <c r="I613" s="108">
        <f t="shared" si="52"/>
        <v>0</v>
      </c>
      <c r="J613" s="108">
        <f t="shared" si="52"/>
        <v>0</v>
      </c>
      <c r="K613" s="108">
        <f t="shared" si="52"/>
        <v>0</v>
      </c>
      <c r="L613" s="89">
        <f t="shared" si="52"/>
        <v>0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4378341.3099999996</v>
      </c>
      <c r="H616" s="109">
        <f>SUM(F51)</f>
        <v>4378341.3100000005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168726.11</v>
      </c>
      <c r="H617" s="109">
        <f>SUM(G51)</f>
        <v>168726.11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128240.31999999999</v>
      </c>
      <c r="H618" s="109">
        <f>SUM(H51)</f>
        <v>128240.31999999999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5000.66</v>
      </c>
      <c r="H619" s="109">
        <f>SUM(I51)</f>
        <v>5000.66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294358.62</v>
      </c>
      <c r="H620" s="109">
        <f>SUM(J51)</f>
        <v>294358.62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2654871.66</v>
      </c>
      <c r="H621" s="109">
        <f>F475</f>
        <v>2654871.6600000113</v>
      </c>
      <c r="I621" s="121" t="s">
        <v>101</v>
      </c>
      <c r="J621" s="109">
        <f t="shared" ref="J621:J654" si="53">G621-H621</f>
        <v>-1.1175870895385742E-8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168726.11</v>
      </c>
      <c r="H622" s="109">
        <f>G475</f>
        <v>168726.1100000001</v>
      </c>
      <c r="I622" s="121" t="s">
        <v>102</v>
      </c>
      <c r="J622" s="109">
        <f t="shared" si="53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105376.93</v>
      </c>
      <c r="H623" s="109">
        <f>H475</f>
        <v>105376.93000000005</v>
      </c>
      <c r="I623" s="121" t="s">
        <v>103</v>
      </c>
      <c r="J623" s="109">
        <f t="shared" si="53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3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294358.62</v>
      </c>
      <c r="H625" s="109">
        <f>J475</f>
        <v>294358.62</v>
      </c>
      <c r="I625" s="140" t="s">
        <v>105</v>
      </c>
      <c r="J625" s="109">
        <f t="shared" si="53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34462878.410000011</v>
      </c>
      <c r="H626" s="104">
        <f>SUM(F467)</f>
        <v>34462878.410000011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913116.17000000016</v>
      </c>
      <c r="H627" s="104">
        <f>SUM(G467)</f>
        <v>913116.17000000016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626767.69999999995</v>
      </c>
      <c r="H628" s="104">
        <f>SUM(H467)</f>
        <v>626767.69999999995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0</v>
      </c>
      <c r="H630" s="104">
        <f>SUM(J467)</f>
        <v>0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34165905.689999998</v>
      </c>
      <c r="H631" s="104">
        <f>SUM(F471)</f>
        <v>34165905.689999998</v>
      </c>
      <c r="I631" s="140" t="s">
        <v>111</v>
      </c>
      <c r="J631" s="109">
        <f t="shared" si="53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1022019.15</v>
      </c>
      <c r="H632" s="104">
        <f>SUM(H471)</f>
        <v>1022019.15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435476.7</v>
      </c>
      <c r="H633" s="104">
        <f>I368</f>
        <v>435476.7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947608.71</v>
      </c>
      <c r="H634" s="104">
        <f>SUM(G471)</f>
        <v>947608.71</v>
      </c>
      <c r="I634" s="140" t="s">
        <v>114</v>
      </c>
      <c r="J634" s="109">
        <f t="shared" si="53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1367.89</v>
      </c>
      <c r="H635" s="104">
        <f>SUM(I471)</f>
        <v>1367.89</v>
      </c>
      <c r="I635" s="140" t="s">
        <v>116</v>
      </c>
      <c r="J635" s="109">
        <f t="shared" si="53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0</v>
      </c>
      <c r="H636" s="164">
        <f>SUM(J467)</f>
        <v>0</v>
      </c>
      <c r="I636" s="165" t="s">
        <v>110</v>
      </c>
      <c r="J636" s="151">
        <f t="shared" si="53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3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294358.62</v>
      </c>
      <c r="H638" s="104">
        <f>SUM(F460)</f>
        <v>294358.62</v>
      </c>
      <c r="I638" s="140" t="s">
        <v>857</v>
      </c>
      <c r="J638" s="109">
        <f t="shared" si="53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858</v>
      </c>
      <c r="J639" s="109">
        <f t="shared" si="53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3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294358.62</v>
      </c>
      <c r="H641" s="104">
        <f>SUM(I460)</f>
        <v>294358.62</v>
      </c>
      <c r="I641" s="140" t="s">
        <v>860</v>
      </c>
      <c r="J641" s="109">
        <f t="shared" si="53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3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0</v>
      </c>
      <c r="H643" s="104">
        <f>H407</f>
        <v>0</v>
      </c>
      <c r="I643" s="140" t="s">
        <v>481</v>
      </c>
      <c r="J643" s="109">
        <f t="shared" si="53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3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0</v>
      </c>
      <c r="H645" s="104">
        <f>L407</f>
        <v>0</v>
      </c>
      <c r="I645" s="140" t="s">
        <v>478</v>
      </c>
      <c r="J645" s="109">
        <f t="shared" si="53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1711080.6700000002</v>
      </c>
      <c r="H646" s="104">
        <f>L207+L225+L243</f>
        <v>1711080.6700000002</v>
      </c>
      <c r="I646" s="140" t="s">
        <v>397</v>
      </c>
      <c r="J646" s="109">
        <f t="shared" si="53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208123.40999999997</v>
      </c>
      <c r="H647" s="104">
        <f>(J256+J337)-(J254+J335)</f>
        <v>208123.40999999997</v>
      </c>
      <c r="I647" s="140" t="s">
        <v>703</v>
      </c>
      <c r="J647" s="109">
        <f t="shared" si="53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581706.37</v>
      </c>
      <c r="H648" s="104">
        <f>H597</f>
        <v>581706.37</v>
      </c>
      <c r="I648" s="140" t="s">
        <v>389</v>
      </c>
      <c r="J648" s="109">
        <f t="shared" si="53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457151.95</v>
      </c>
      <c r="H649" s="104">
        <f>I597</f>
        <v>457151.95</v>
      </c>
      <c r="I649" s="140" t="s">
        <v>390</v>
      </c>
      <c r="J649" s="109">
        <f t="shared" si="53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672222.35000000009</v>
      </c>
      <c r="H650" s="104">
        <f>J597</f>
        <v>672222.35000000009</v>
      </c>
      <c r="I650" s="140" t="s">
        <v>391</v>
      </c>
      <c r="J650" s="109">
        <f t="shared" si="53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3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3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3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3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10254333.52</v>
      </c>
      <c r="G659" s="19">
        <f>(L228+L308+L358)</f>
        <v>10471269.26</v>
      </c>
      <c r="H659" s="19">
        <f>(L246+L327+L359)</f>
        <v>14445552.999999998</v>
      </c>
      <c r="I659" s="19">
        <f>SUM(F659:H659)</f>
        <v>35171155.780000001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176038.47652633503</v>
      </c>
      <c r="G660" s="19">
        <f>(L358/IF(SUM(L357:L359)=0,1,SUM(L357:L359))*(SUM(G96:G109)))</f>
        <v>223961.97836094696</v>
      </c>
      <c r="H660" s="19">
        <f>(L359/IF(SUM(L357:L359)=0,1,SUM(L357:L359))*(SUM(G96:G109)))</f>
        <v>317481.86511271819</v>
      </c>
      <c r="I660" s="19">
        <f>SUM(F660:H660)</f>
        <v>717482.32000000018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581706.37</v>
      </c>
      <c r="G661" s="19">
        <f>(L225+L305)-(J225+J305)</f>
        <v>457151.95</v>
      </c>
      <c r="H661" s="19">
        <f>(L243+L324)-(J243+J324)</f>
        <v>672222.35000000009</v>
      </c>
      <c r="I661" s="19">
        <f>SUM(F661:H661)</f>
        <v>1711080.6700000002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608699.74</v>
      </c>
      <c r="G662" s="199">
        <f>SUM(G574:G586)+SUM(I601:I603)+L611</f>
        <v>301638.89</v>
      </c>
      <c r="H662" s="199">
        <f>SUM(H574:H586)+SUM(J601:J603)+L612</f>
        <v>522584.83</v>
      </c>
      <c r="I662" s="19">
        <f>SUM(F662:H662)</f>
        <v>1432923.46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8887888.9334736653</v>
      </c>
      <c r="G663" s="19">
        <f>G659-SUM(G660:G662)</f>
        <v>9488516.4416390527</v>
      </c>
      <c r="H663" s="19">
        <f>H659-SUM(H660:H662)</f>
        <v>12933263.95488728</v>
      </c>
      <c r="I663" s="19">
        <f>I659-SUM(I660:I662)</f>
        <v>31309669.330000002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735.39</v>
      </c>
      <c r="G664" s="248">
        <v>864.66</v>
      </c>
      <c r="H664" s="248">
        <v>1160.72</v>
      </c>
      <c r="I664" s="19">
        <f>SUM(F664:H664)</f>
        <v>2760.77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12085.95</v>
      </c>
      <c r="G666" s="19">
        <f>ROUND(G663/G664,2)</f>
        <v>10973.7</v>
      </c>
      <c r="H666" s="19">
        <f>ROUND(H663/H664,2)</f>
        <v>11142.45</v>
      </c>
      <c r="I666" s="19">
        <f>ROUND(I663/I664,2)</f>
        <v>11340.92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-32.5</v>
      </c>
      <c r="I669" s="19">
        <f>SUM(F669:H669)</f>
        <v>-32.5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12085.95</v>
      </c>
      <c r="G671" s="19">
        <f>ROUND((G663+G668)/(G664+G669),2)</f>
        <v>10973.7</v>
      </c>
      <c r="H671" s="19">
        <f>ROUND((H663+H668)/(H664+H669),2)</f>
        <v>11463.42</v>
      </c>
      <c r="I671" s="19">
        <f>ROUND((I663+I668)/(I664+I669),2)</f>
        <v>11476.02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G39" sqref="G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Goffstown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10030524.500000002</v>
      </c>
      <c r="C9" s="229">
        <f>'DOE25'!G196+'DOE25'!G214+'DOE25'!G232+'DOE25'!G275+'DOE25'!G294+'DOE25'!G313</f>
        <v>4416055.0200000005</v>
      </c>
    </row>
    <row r="10" spans="1:3" x14ac:dyDescent="0.2">
      <c r="A10" t="s">
        <v>779</v>
      </c>
      <c r="B10" s="240">
        <v>9504189.2599999998</v>
      </c>
      <c r="C10" s="240">
        <v>4151091.7</v>
      </c>
    </row>
    <row r="11" spans="1:3" x14ac:dyDescent="0.2">
      <c r="A11" t="s">
        <v>780</v>
      </c>
      <c r="B11" s="240">
        <v>108.25</v>
      </c>
      <c r="C11" s="240">
        <v>0</v>
      </c>
    </row>
    <row r="12" spans="1:3" x14ac:dyDescent="0.2">
      <c r="A12" t="s">
        <v>781</v>
      </c>
      <c r="B12" s="240">
        <v>526226.99</v>
      </c>
      <c r="C12" s="240">
        <v>264963.32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10030524.5</v>
      </c>
      <c r="C13" s="231">
        <f>SUM(C10:C12)</f>
        <v>4416055.0200000005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3759467.01</v>
      </c>
      <c r="C18" s="229">
        <f>'DOE25'!G197+'DOE25'!G215+'DOE25'!G233+'DOE25'!G276+'DOE25'!G295+'DOE25'!G314</f>
        <v>1936073.16</v>
      </c>
    </row>
    <row r="19" spans="1:3" x14ac:dyDescent="0.2">
      <c r="A19" t="s">
        <v>779</v>
      </c>
      <c r="B19" s="240">
        <v>2148292.5299999998</v>
      </c>
      <c r="C19" s="240">
        <v>1089661.3999999999</v>
      </c>
    </row>
    <row r="20" spans="1:3" x14ac:dyDescent="0.2">
      <c r="A20" t="s">
        <v>780</v>
      </c>
      <c r="B20" s="240">
        <v>1293240.05</v>
      </c>
      <c r="C20" s="240">
        <v>660000.39</v>
      </c>
    </row>
    <row r="21" spans="1:3" x14ac:dyDescent="0.2">
      <c r="A21" t="s">
        <v>781</v>
      </c>
      <c r="B21" s="240">
        <v>317934.43</v>
      </c>
      <c r="C21" s="240">
        <v>186411.37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3759467.0100000002</v>
      </c>
      <c r="C22" s="231">
        <f>SUM(C19:C21)</f>
        <v>1936073.1600000001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360722.05000000005</v>
      </c>
      <c r="C36" s="235">
        <f>'DOE25'!G199+'DOE25'!G217+'DOE25'!G235+'DOE25'!G278+'DOE25'!G297+'DOE25'!G316</f>
        <v>69201.180000000008</v>
      </c>
    </row>
    <row r="37" spans="1:3" x14ac:dyDescent="0.2">
      <c r="A37" t="s">
        <v>779</v>
      </c>
      <c r="B37" s="240">
        <v>26081.25</v>
      </c>
      <c r="C37" s="240">
        <v>5003.4399999999996</v>
      </c>
    </row>
    <row r="38" spans="1:3" x14ac:dyDescent="0.2">
      <c r="A38" t="s">
        <v>780</v>
      </c>
      <c r="B38" s="240">
        <v>600</v>
      </c>
      <c r="C38" s="240">
        <v>66</v>
      </c>
    </row>
    <row r="39" spans="1:3" x14ac:dyDescent="0.2">
      <c r="A39" t="s">
        <v>781</v>
      </c>
      <c r="B39" s="240">
        <v>334040.8</v>
      </c>
      <c r="C39" s="240">
        <v>64131.74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360722.05</v>
      </c>
      <c r="C40" s="231">
        <f>SUM(C37:C39)</f>
        <v>69201.179999999993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L31" sqref="L3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Goffstown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22421435.059999999</v>
      </c>
      <c r="D5" s="20">
        <f>SUM('DOE25'!L196:L199)+SUM('DOE25'!L214:L217)+SUM('DOE25'!L232:L235)-F5-G5</f>
        <v>22289097.299999997</v>
      </c>
      <c r="E5" s="243"/>
      <c r="F5" s="255">
        <f>SUM('DOE25'!J196:J199)+SUM('DOE25'!J214:J217)+SUM('DOE25'!J232:J235)</f>
        <v>103292.26</v>
      </c>
      <c r="G5" s="53">
        <f>SUM('DOE25'!K196:K199)+SUM('DOE25'!K214:K217)+SUM('DOE25'!K232:K235)</f>
        <v>29045.5</v>
      </c>
      <c r="H5" s="259"/>
    </row>
    <row r="6" spans="1:9" x14ac:dyDescent="0.2">
      <c r="A6" s="32">
        <v>2100</v>
      </c>
      <c r="B6" t="s">
        <v>801</v>
      </c>
      <c r="C6" s="245">
        <f t="shared" si="0"/>
        <v>2018306.33</v>
      </c>
      <c r="D6" s="20">
        <f>'DOE25'!L201+'DOE25'!L219+'DOE25'!L237-F6-G6</f>
        <v>2016995.76</v>
      </c>
      <c r="E6" s="243"/>
      <c r="F6" s="255">
        <f>'DOE25'!J201+'DOE25'!J219+'DOE25'!J237</f>
        <v>485.57</v>
      </c>
      <c r="G6" s="53">
        <f>'DOE25'!K201+'DOE25'!K219+'DOE25'!K237</f>
        <v>825</v>
      </c>
      <c r="H6" s="259"/>
    </row>
    <row r="7" spans="1:9" x14ac:dyDescent="0.2">
      <c r="A7" s="32">
        <v>2200</v>
      </c>
      <c r="B7" t="s">
        <v>834</v>
      </c>
      <c r="C7" s="245">
        <f t="shared" si="0"/>
        <v>653494.66</v>
      </c>
      <c r="D7" s="20">
        <f>'DOE25'!L202+'DOE25'!L220+'DOE25'!L238-F7-G7</f>
        <v>647918.65</v>
      </c>
      <c r="E7" s="243"/>
      <c r="F7" s="255">
        <f>'DOE25'!J202+'DOE25'!J220+'DOE25'!J238</f>
        <v>5576.01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602061.59999999974</v>
      </c>
      <c r="D8" s="243"/>
      <c r="E8" s="20">
        <f>'DOE25'!L203+'DOE25'!L221+'DOE25'!L239-F8-G8-D9-D11</f>
        <v>591907.99999999977</v>
      </c>
      <c r="F8" s="255">
        <f>'DOE25'!J203+'DOE25'!J221+'DOE25'!J239</f>
        <v>0</v>
      </c>
      <c r="G8" s="53">
        <f>'DOE25'!K203+'DOE25'!K221+'DOE25'!K239</f>
        <v>10153.6</v>
      </c>
      <c r="H8" s="259"/>
    </row>
    <row r="9" spans="1:9" x14ac:dyDescent="0.2">
      <c r="A9" s="32">
        <v>2310</v>
      </c>
      <c r="B9" t="s">
        <v>818</v>
      </c>
      <c r="C9" s="245">
        <f t="shared" si="0"/>
        <v>78565.08</v>
      </c>
      <c r="D9" s="244">
        <v>78565.08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9500</v>
      </c>
      <c r="D10" s="243"/>
      <c r="E10" s="244">
        <v>9500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561115</v>
      </c>
      <c r="D11" s="244">
        <v>561115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2121893.2200000002</v>
      </c>
      <c r="D12" s="20">
        <f>'DOE25'!L204+'DOE25'!L222+'DOE25'!L240-F12-G12</f>
        <v>2102391.3400000003</v>
      </c>
      <c r="E12" s="243"/>
      <c r="F12" s="255">
        <f>'DOE25'!J204+'DOE25'!J222+'DOE25'!J240</f>
        <v>341.5</v>
      </c>
      <c r="G12" s="53">
        <f>'DOE25'!K204+'DOE25'!K222+'DOE25'!K240</f>
        <v>19160.38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1500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1500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3082401.4499999997</v>
      </c>
      <c r="D14" s="20">
        <f>'DOE25'!L206+'DOE25'!L224+'DOE25'!L242-F14-G14</f>
        <v>3038625.2699999996</v>
      </c>
      <c r="E14" s="243"/>
      <c r="F14" s="255">
        <f>'DOE25'!J206+'DOE25'!J224+'DOE25'!J242</f>
        <v>43776.18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1711080.6700000002</v>
      </c>
      <c r="D15" s="20">
        <f>'DOE25'!L207+'DOE25'!L225+'DOE25'!L243-F15-G15</f>
        <v>1711080.6700000002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8567.4700000000012</v>
      </c>
      <c r="D16" s="243"/>
      <c r="E16" s="20">
        <f>'DOE25'!L208+'DOE25'!L226+'DOE25'!L244-F16-G16</f>
        <v>8567.4700000000012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68385.149999999994</v>
      </c>
      <c r="D17" s="20">
        <f>'DOE25'!L250-F17-G17</f>
        <v>68385.149999999994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837100</v>
      </c>
      <c r="D25" s="243"/>
      <c r="E25" s="243"/>
      <c r="F25" s="258"/>
      <c r="G25" s="256"/>
      <c r="H25" s="257">
        <f>'DOE25'!L259+'DOE25'!L260+'DOE25'!L340+'DOE25'!L341</f>
        <v>837100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544375.27</v>
      </c>
      <c r="D29" s="20">
        <f>'DOE25'!L357+'DOE25'!L358+'DOE25'!L359-'DOE25'!I366-F29-G29</f>
        <v>534348.17000000004</v>
      </c>
      <c r="E29" s="243"/>
      <c r="F29" s="255">
        <f>'DOE25'!J357+'DOE25'!J358+'DOE25'!J359</f>
        <v>5248</v>
      </c>
      <c r="G29" s="53">
        <f>'DOE25'!K357+'DOE25'!K358+'DOE25'!K359</f>
        <v>4779.1000000000004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1021832.29</v>
      </c>
      <c r="D31" s="20">
        <f>'DOE25'!L289+'DOE25'!L308+'DOE25'!L327+'DOE25'!L332+'DOE25'!L333+'DOE25'!L334-F31-G31</f>
        <v>967680.4</v>
      </c>
      <c r="E31" s="243"/>
      <c r="F31" s="255">
        <f>'DOE25'!J289+'DOE25'!J308+'DOE25'!J327+'DOE25'!J332+'DOE25'!J333+'DOE25'!J334</f>
        <v>54651.89</v>
      </c>
      <c r="G31" s="53">
        <f>'DOE25'!K289+'DOE25'!K308+'DOE25'!K327+'DOE25'!K332+'DOE25'!K333+'DOE25'!K334</f>
        <v>-500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34016202.789999999</v>
      </c>
      <c r="E33" s="246">
        <f>SUM(E5:E31)</f>
        <v>609975.46999999974</v>
      </c>
      <c r="F33" s="246">
        <f>SUM(F5:F31)</f>
        <v>213371.40999999997</v>
      </c>
      <c r="G33" s="246">
        <f>SUM(G5:G31)</f>
        <v>64963.579999999994</v>
      </c>
      <c r="H33" s="246">
        <f>SUM(H5:H31)</f>
        <v>837100</v>
      </c>
    </row>
    <row r="35" spans="2:8" ht="12" thickBot="1" x14ac:dyDescent="0.25">
      <c r="B35" s="253" t="s">
        <v>847</v>
      </c>
      <c r="D35" s="254">
        <f>E33</f>
        <v>609975.46999999974</v>
      </c>
      <c r="E35" s="249"/>
    </row>
    <row r="36" spans="2:8" ht="12" thickTop="1" x14ac:dyDescent="0.2">
      <c r="B36" t="s">
        <v>815</v>
      </c>
      <c r="D36" s="20">
        <f>D33</f>
        <v>34016202.789999999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G95" sqref="G9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Goffstown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4307871.76</v>
      </c>
      <c r="D8" s="95">
        <f>'DOE25'!G9</f>
        <v>155543.79999999999</v>
      </c>
      <c r="E8" s="95">
        <f>'DOE25'!H9</f>
        <v>0</v>
      </c>
      <c r="F8" s="95">
        <f>'DOE25'!I9</f>
        <v>5000.66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13182.31</v>
      </c>
      <c r="E11" s="95">
        <f>'DOE25'!H12</f>
        <v>121324.93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6277.05</v>
      </c>
      <c r="F12" s="95">
        <f>'DOE25'!I13</f>
        <v>0</v>
      </c>
      <c r="G12" s="95">
        <f>'DOE25'!J13</f>
        <v>294358.62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638.34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45863.55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24606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4378341.3099999996</v>
      </c>
      <c r="D18" s="41">
        <f>SUM(D8:D17)</f>
        <v>168726.11</v>
      </c>
      <c r="E18" s="41">
        <f>SUM(E8:E17)</f>
        <v>128240.31999999999</v>
      </c>
      <c r="F18" s="41">
        <f>SUM(F8:F17)</f>
        <v>5000.66</v>
      </c>
      <c r="G18" s="41">
        <f>SUM(G8:G17)</f>
        <v>294358.62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3595.44</v>
      </c>
      <c r="F22" s="95">
        <f>'DOE25'!I23</f>
        <v>5000.66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1013045.44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90876.800000000003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618531.65999999992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19267.95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1015.75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1723469.65</v>
      </c>
      <c r="D31" s="41">
        <f>SUM(D21:D30)</f>
        <v>0</v>
      </c>
      <c r="E31" s="41">
        <f>SUM(E21:E30)</f>
        <v>22863.39</v>
      </c>
      <c r="F31" s="41">
        <f>SUM(F21:F30)</f>
        <v>5000.66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45863.55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24606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60226.23</v>
      </c>
      <c r="F46" s="95">
        <f>'DOE25'!I47</f>
        <v>0</v>
      </c>
      <c r="G46" s="95">
        <f>'DOE25'!J47</f>
        <v>294358.62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1883345.61</v>
      </c>
      <c r="D47" s="95">
        <f>'DOE25'!G48</f>
        <v>168726.11</v>
      </c>
      <c r="E47" s="95">
        <f>'DOE25'!H48</f>
        <v>45150.7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701056.5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2654871.66</v>
      </c>
      <c r="D49" s="41">
        <f>SUM(D34:D48)</f>
        <v>168726.11</v>
      </c>
      <c r="E49" s="41">
        <f>SUM(E34:E48)</f>
        <v>105376.93</v>
      </c>
      <c r="F49" s="41">
        <f>SUM(F34:F48)</f>
        <v>0</v>
      </c>
      <c r="G49" s="41">
        <f>SUM(G34:G48)</f>
        <v>294358.62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4378341.3100000005</v>
      </c>
      <c r="D50" s="41">
        <f>D49+D31</f>
        <v>168726.11</v>
      </c>
      <c r="E50" s="41">
        <f>E49+E31</f>
        <v>128240.31999999999</v>
      </c>
      <c r="F50" s="41">
        <f>F49+F31</f>
        <v>5000.66</v>
      </c>
      <c r="G50" s="41">
        <f>G49+G31</f>
        <v>294358.62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16174883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6861296.9900000002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-976.81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0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717482.32000000007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47437.82</v>
      </c>
      <c r="D60" s="95">
        <f>SUM('DOE25'!G97:G109)</f>
        <v>0</v>
      </c>
      <c r="E60" s="95">
        <f>SUM('DOE25'!H97:H109)</f>
        <v>61228.399999999994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6907758.0000000009</v>
      </c>
      <c r="D61" s="130">
        <f>SUM(D56:D60)</f>
        <v>717482.32000000007</v>
      </c>
      <c r="E61" s="130">
        <f>SUM(E56:E60)</f>
        <v>61228.399999999994</v>
      </c>
      <c r="F61" s="130">
        <f>SUM(F56:F60)</f>
        <v>0</v>
      </c>
      <c r="G61" s="130">
        <f>SUM(G56:G60)</f>
        <v>0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23082641</v>
      </c>
      <c r="D62" s="22">
        <f>D55+D61</f>
        <v>717482.32000000007</v>
      </c>
      <c r="E62" s="22">
        <f>E55+E61</f>
        <v>61228.399999999994</v>
      </c>
      <c r="F62" s="22">
        <f>F55+F61</f>
        <v>0</v>
      </c>
      <c r="G62" s="22">
        <f>G55+G61</f>
        <v>0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7123509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3217126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10340635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397938.55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371339.13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17953.64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11228.81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787231.32</v>
      </c>
      <c r="D77" s="130">
        <f>SUM(D71:D76)</f>
        <v>11228.81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11127866.32</v>
      </c>
      <c r="D80" s="130">
        <f>SUM(D78:D79)+D77+D69</f>
        <v>11228.81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252371.09</v>
      </c>
      <c r="D87" s="95">
        <f>SUM('DOE25'!G152:G160)</f>
        <v>145334.04</v>
      </c>
      <c r="E87" s="95">
        <f>SUM('DOE25'!H152:H160)</f>
        <v>565539.29999999993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39071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252371.09</v>
      </c>
      <c r="D90" s="131">
        <f>SUM(D84:D89)</f>
        <v>184405.04</v>
      </c>
      <c r="E90" s="131">
        <f>SUM(E84:E89)</f>
        <v>565539.29999999993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34462878.410000004</v>
      </c>
      <c r="D103" s="86">
        <f>D62+D80+D90+D102</f>
        <v>913116.17000000016</v>
      </c>
      <c r="E103" s="86">
        <f>E62+E80+E90+E102</f>
        <v>626767.69999999995</v>
      </c>
      <c r="F103" s="86">
        <f>F62+F80+F90+F102</f>
        <v>0</v>
      </c>
      <c r="G103" s="86">
        <f>G62+G80+G102</f>
        <v>0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15045540.83</v>
      </c>
      <c r="D108" s="24" t="s">
        <v>289</v>
      </c>
      <c r="E108" s="95">
        <f>('DOE25'!L275)+('DOE25'!L294)+('DOE25'!L313)</f>
        <v>276968.68999999994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6645566.8599999994</v>
      </c>
      <c r="D109" s="24" t="s">
        <v>289</v>
      </c>
      <c r="E109" s="95">
        <f>('DOE25'!L276)+('DOE25'!L295)+('DOE25'!L314)</f>
        <v>469969.86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146120.43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584206.93999999994</v>
      </c>
      <c r="D111" s="24" t="s">
        <v>289</v>
      </c>
      <c r="E111" s="95">
        <f>+('DOE25'!L278)+('DOE25'!L297)+('DOE25'!L316)</f>
        <v>14706.43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68385.149999999994</v>
      </c>
      <c r="D113" s="24" t="s">
        <v>289</v>
      </c>
      <c r="E113" s="95">
        <f>+ SUM('DOE25'!L332:L334)</f>
        <v>58705.760000000002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22489820.209999997</v>
      </c>
      <c r="D114" s="86">
        <f>SUM(D108:D113)</f>
        <v>0</v>
      </c>
      <c r="E114" s="86">
        <f>SUM(E108:E113)</f>
        <v>820350.74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2018306.33</v>
      </c>
      <c r="D117" s="24" t="s">
        <v>289</v>
      </c>
      <c r="E117" s="95">
        <f>+('DOE25'!L280)+('DOE25'!L299)+('DOE25'!L318)</f>
        <v>1868.4299999999998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653494.66</v>
      </c>
      <c r="D118" s="24" t="s">
        <v>289</v>
      </c>
      <c r="E118" s="95">
        <f>+('DOE25'!L281)+('DOE25'!L300)+('DOE25'!L319)</f>
        <v>195242.12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1241741.68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2121893.2200000002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1500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3082401.4499999997</v>
      </c>
      <c r="D122" s="24" t="s">
        <v>289</v>
      </c>
      <c r="E122" s="95">
        <f>+('DOE25'!L285)+('DOE25'!L304)+('DOE25'!L323)</f>
        <v>4371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1711080.6700000002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8567.4700000000012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947608.71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10838985.48</v>
      </c>
      <c r="D127" s="86">
        <f>SUM(D117:D126)</f>
        <v>947608.71</v>
      </c>
      <c r="E127" s="86">
        <f>SUM(E117:E126)</f>
        <v>201481.55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1367.89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640000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197100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186.86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837100</v>
      </c>
      <c r="D143" s="141">
        <f>SUM(D129:D142)</f>
        <v>0</v>
      </c>
      <c r="E143" s="141">
        <f>SUM(E129:E142)</f>
        <v>186.86</v>
      </c>
      <c r="F143" s="141">
        <f>SUM(F129:F142)</f>
        <v>1367.89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34165905.689999998</v>
      </c>
      <c r="D144" s="86">
        <f>(D114+D127+D143)</f>
        <v>947608.71</v>
      </c>
      <c r="E144" s="86">
        <f>(E114+E127+E143)</f>
        <v>1022019.15</v>
      </c>
      <c r="F144" s="86">
        <f>(F114+F127+F143)</f>
        <v>1367.89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10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10/10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07/21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6015000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3.68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5365000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5365000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640000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640000</v>
      </c>
    </row>
    <row r="158" spans="1:9" x14ac:dyDescent="0.2">
      <c r="A158" s="22" t="s">
        <v>35</v>
      </c>
      <c r="B158" s="137">
        <f>'DOE25'!F497</f>
        <v>4725000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4725000</v>
      </c>
    </row>
    <row r="159" spans="1:9" x14ac:dyDescent="0.2">
      <c r="A159" s="22" t="s">
        <v>36</v>
      </c>
      <c r="B159" s="137">
        <f>'DOE25'!F498</f>
        <v>920181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920181</v>
      </c>
    </row>
    <row r="160" spans="1:9" x14ac:dyDescent="0.2">
      <c r="A160" s="22" t="s">
        <v>37</v>
      </c>
      <c r="B160" s="137">
        <f>'DOE25'!F499</f>
        <v>5645181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5645181</v>
      </c>
    </row>
    <row r="161" spans="1:7" x14ac:dyDescent="0.2">
      <c r="A161" s="22" t="s">
        <v>38</v>
      </c>
      <c r="B161" s="137">
        <f>'DOE25'!F500</f>
        <v>625000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625000</v>
      </c>
    </row>
    <row r="162" spans="1:7" x14ac:dyDescent="0.2">
      <c r="A162" s="22" t="s">
        <v>39</v>
      </c>
      <c r="B162" s="137">
        <f>'DOE25'!F501</f>
        <v>182700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182700</v>
      </c>
    </row>
    <row r="163" spans="1:7" x14ac:dyDescent="0.2">
      <c r="A163" s="22" t="s">
        <v>246</v>
      </c>
      <c r="B163" s="137">
        <f>'DOE25'!F502</f>
        <v>807700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807700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C41" sqref="C41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Goffstown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12086</v>
      </c>
    </row>
    <row r="5" spans="1:4" x14ac:dyDescent="0.2">
      <c r="B5" t="s">
        <v>704</v>
      </c>
      <c r="C5" s="179">
        <f>IF('DOE25'!G664+'DOE25'!G669=0,0,ROUND('DOE25'!G671,0))</f>
        <v>10974</v>
      </c>
    </row>
    <row r="6" spans="1:4" x14ac:dyDescent="0.2">
      <c r="B6" t="s">
        <v>62</v>
      </c>
      <c r="C6" s="179">
        <f>IF('DOE25'!H664+'DOE25'!H669=0,0,ROUND('DOE25'!H671,0))</f>
        <v>11463</v>
      </c>
    </row>
    <row r="7" spans="1:4" x14ac:dyDescent="0.2">
      <c r="B7" t="s">
        <v>705</v>
      </c>
      <c r="C7" s="179">
        <f>IF('DOE25'!I664+'DOE25'!I669=0,0,ROUND('DOE25'!I671,0))</f>
        <v>11476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15322510</v>
      </c>
      <c r="D10" s="182">
        <f>ROUND((C10/$C$28)*100,1)</f>
        <v>44.1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7115537</v>
      </c>
      <c r="D11" s="182">
        <f>ROUND((C11/$C$28)*100,1)</f>
        <v>20.5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146120</v>
      </c>
      <c r="D12" s="182">
        <f>ROUND((C12/$C$28)*100,1)</f>
        <v>0.4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598913</v>
      </c>
      <c r="D13" s="182">
        <f>ROUND((C13/$C$28)*100,1)</f>
        <v>1.7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2020175</v>
      </c>
      <c r="D15" s="182">
        <f t="shared" ref="D15:D27" si="0">ROUND((C15/$C$28)*100,1)</f>
        <v>5.8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848737</v>
      </c>
      <c r="D16" s="182">
        <f t="shared" si="0"/>
        <v>2.4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1250309</v>
      </c>
      <c r="D17" s="182">
        <f t="shared" si="0"/>
        <v>3.6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2121893</v>
      </c>
      <c r="D18" s="182">
        <f t="shared" si="0"/>
        <v>6.1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1500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3086772</v>
      </c>
      <c r="D20" s="182">
        <f t="shared" si="0"/>
        <v>8.9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1711081</v>
      </c>
      <c r="D21" s="182">
        <f t="shared" si="0"/>
        <v>4.9000000000000004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127091</v>
      </c>
      <c r="D24" s="182">
        <f t="shared" si="0"/>
        <v>0.4</v>
      </c>
    </row>
    <row r="25" spans="1:4" x14ac:dyDescent="0.2">
      <c r="A25">
        <v>5120</v>
      </c>
      <c r="B25" t="s">
        <v>720</v>
      </c>
      <c r="C25" s="179">
        <f>ROUND('DOE25'!L260+'DOE25'!L341,0)</f>
        <v>197100</v>
      </c>
      <c r="D25" s="182">
        <f t="shared" si="0"/>
        <v>0.6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230126.67999999993</v>
      </c>
      <c r="D27" s="182">
        <f t="shared" si="0"/>
        <v>0.7</v>
      </c>
    </row>
    <row r="28" spans="1:4" x14ac:dyDescent="0.2">
      <c r="B28" s="187" t="s">
        <v>723</v>
      </c>
      <c r="C28" s="180">
        <f>SUM(C10:C27)</f>
        <v>34777864.68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1368</v>
      </c>
    </row>
    <row r="30" spans="1:4" x14ac:dyDescent="0.2">
      <c r="B30" s="187" t="s">
        <v>729</v>
      </c>
      <c r="C30" s="180">
        <f>SUM(C28:C29)</f>
        <v>34779232.68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640000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16174883</v>
      </c>
      <c r="D35" s="182">
        <f t="shared" ref="D35:D40" si="1">ROUND((C35/$C$41)*100,1)</f>
        <v>45.8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6968986.4000000022</v>
      </c>
      <c r="D36" s="182">
        <f t="shared" si="1"/>
        <v>19.8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10340635</v>
      </c>
      <c r="D37" s="182">
        <f t="shared" si="1"/>
        <v>29.3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798460</v>
      </c>
      <c r="D38" s="182">
        <f t="shared" si="1"/>
        <v>2.2999999999999998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1002315</v>
      </c>
      <c r="D39" s="182">
        <f t="shared" si="1"/>
        <v>2.8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35285279.400000006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C18" sqref="C18:M18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Goffstown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 t="s">
        <v>913</v>
      </c>
      <c r="B4" s="219"/>
      <c r="C4" s="285" t="s">
        <v>912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 t="s">
        <v>915</v>
      </c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 t="s">
        <v>916</v>
      </c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 t="s">
        <v>914</v>
      </c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 t="s">
        <v>917</v>
      </c>
      <c r="B9" s="219"/>
      <c r="C9" s="285" t="s">
        <v>918</v>
      </c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 t="s">
        <v>919</v>
      </c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2013-10-10T14:29:42Z</cp:lastPrinted>
  <dcterms:created xsi:type="dcterms:W3CDTF">1997-12-04T19:04:30Z</dcterms:created>
  <dcterms:modified xsi:type="dcterms:W3CDTF">2013-12-05T18:42:32Z</dcterms:modified>
</cp:coreProperties>
</file>