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B0A" lockStructure="1"/>
  <bookViews>
    <workbookView xWindow="-15" yWindow="-15" windowWidth="12720" windowHeight="57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H611" i="1"/>
  <c r="H610" i="1"/>
  <c r="B21" i="12" l="1"/>
  <c r="B12" i="12"/>
  <c r="I506" i="1" l="1"/>
  <c r="G238" i="1" l="1"/>
  <c r="F238" i="1"/>
  <c r="F581" i="1"/>
  <c r="H201" i="1" l="1"/>
  <c r="G201" i="1"/>
  <c r="F201" i="1"/>
  <c r="I197" i="1"/>
  <c r="H197" i="1"/>
  <c r="F2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9" i="10"/>
  <c r="L249" i="1"/>
  <c r="L331" i="1"/>
  <c r="L253" i="1"/>
  <c r="L267" i="1"/>
  <c r="L268" i="1"/>
  <c r="L348" i="1"/>
  <c r="L349" i="1"/>
  <c r="I664" i="1"/>
  <c r="I669" i="1"/>
  <c r="F660" i="1"/>
  <c r="H660" i="1"/>
  <c r="F661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55" i="1" s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I256" i="1"/>
  <c r="I270" i="1" s="1"/>
  <c r="G256" i="1"/>
  <c r="G270" i="1" s="1"/>
  <c r="G163" i="2"/>
  <c r="G159" i="2"/>
  <c r="C18" i="2"/>
  <c r="F31" i="2"/>
  <c r="C26" i="10"/>
  <c r="L327" i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C22" i="13" s="1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H544" i="1"/>
  <c r="K550" i="1"/>
  <c r="C137" i="2"/>
  <c r="C16" i="13"/>
  <c r="L269" i="1" l="1"/>
  <c r="C25" i="10"/>
  <c r="C20" i="10"/>
  <c r="L336" i="1"/>
  <c r="C23" i="10"/>
  <c r="C32" i="10"/>
  <c r="G660" i="1"/>
  <c r="C113" i="2"/>
  <c r="C114" i="2" s="1"/>
  <c r="I660" i="1"/>
  <c r="D19" i="13"/>
  <c r="C19" i="13" s="1"/>
  <c r="L544" i="1"/>
  <c r="K551" i="1"/>
  <c r="L361" i="1"/>
  <c r="C16" i="10"/>
  <c r="E114" i="2"/>
  <c r="E144" i="2" s="1"/>
  <c r="H33" i="13"/>
  <c r="C130" i="2"/>
  <c r="C17" i="10"/>
  <c r="E33" i="13"/>
  <c r="D35" i="13" s="1"/>
  <c r="C21" i="10"/>
  <c r="C18" i="10"/>
  <c r="L246" i="1"/>
  <c r="H659" i="1" s="1"/>
  <c r="H663" i="1" s="1"/>
  <c r="H666" i="1" s="1"/>
  <c r="D5" i="13"/>
  <c r="C5" i="13" s="1"/>
  <c r="H256" i="1"/>
  <c r="H270" i="1" s="1"/>
  <c r="C127" i="2"/>
  <c r="L228" i="1"/>
  <c r="G659" i="1" s="1"/>
  <c r="G663" i="1" s="1"/>
  <c r="G666" i="1" s="1"/>
  <c r="K256" i="1"/>
  <c r="K270" i="1" s="1"/>
  <c r="C10" i="10"/>
  <c r="L210" i="1"/>
  <c r="F659" i="1" s="1"/>
  <c r="F663" i="1" s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G18" i="2" s="1"/>
  <c r="J19" i="1"/>
  <c r="G620" i="1" s="1"/>
  <c r="F33" i="13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C28" i="10" l="1"/>
  <c r="D23" i="10" s="1"/>
  <c r="H671" i="1"/>
  <c r="C6" i="10" s="1"/>
  <c r="C144" i="2"/>
  <c r="G671" i="1"/>
  <c r="C5" i="10" s="1"/>
  <c r="L256" i="1"/>
  <c r="L270" i="1" s="1"/>
  <c r="G631" i="1" s="1"/>
  <c r="J631" i="1" s="1"/>
  <c r="I659" i="1"/>
  <c r="I663" i="1" s="1"/>
  <c r="I671" i="1" s="1"/>
  <c r="C7" i="10" s="1"/>
  <c r="F671" i="1"/>
  <c r="C4" i="10" s="1"/>
  <c r="F666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0" i="10" l="1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<sst xmlns="http://schemas.openxmlformats.org/spreadsheetml/2006/main" count="3946" uniqueCount="912">
  <si>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</si>
  <si>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</si>
  <si>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</si>
  <si>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</si>
  <si>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</si>
  <si>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</si>
  <si>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</si>
  <si>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</si>
  <si>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</si>
  <si>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</si>
  <si>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</si>
  <si>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</si>
  <si>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</si>
  <si>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</si>
  <si>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</si>
  <si>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</si>
  <si>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</si>
  <si>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</si>
  <si>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</si>
  <si>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</si>
  <si>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</si>
  <si>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</si>
  <si>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</si>
  <si>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</si>
  <si>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</si>
  <si>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</si>
  <si>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</si>
  <si>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</si>
  <si>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</si>
  <si>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</si>
  <si>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</si>
  <si>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</si>
  <si>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</si>
  <si>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</si>
  <si>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</si>
  <si>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</si>
  <si>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</si>
  <si>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</si>
  <si>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</si>
  <si>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</si>
  <si>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</si>
  <si>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</si>
  <si>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</si>
  <si>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</si>
  <si>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</si>
  <si>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</si>
  <si>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</si>
  <si>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</si>
  <si>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</si>
  <si>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</si>
  <si>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</si>
  <si>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</si>
  <si>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</si>
  <si>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</si>
  <si>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</si>
  <si>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</si>
  <si>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</si>
  <si>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</si>
  <si>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</si>
  <si>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</si>
  <si>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</si>
  <si>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</si>
  <si>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</si>
  <si>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</si>
  <si>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</si>
  <si>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</si>
  <si>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</si>
  <si>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</si>
  <si>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</si>
  <si>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</si>
  <si>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</si>
  <si>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</si>
  <si>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</si>
  <si>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</si>
  <si>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</si>
  <si>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</si>
  <si>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</si>
  <si>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</si>
  <si>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</si>
  <si>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</si>
  <si>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</si>
  <si>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</si>
  <si>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</si>
  <si>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</si>
  <si>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</si>
  <si>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</si>
  <si>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</si>
  <si>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</si>
  <si>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</si>
  <si>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</si>
  <si>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</si>
  <si>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</si>
  <si>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</si>
  <si>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</si>
  <si>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</si>
  <si>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</si>
  <si>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</si>
  <si>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</si>
  <si>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</si>
  <si>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</si>
  <si>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</si>
  <si>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</si>
  <si>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</si>
  <si>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</si>
  <si>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</si>
  <si>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</si>
  <si>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</si>
  <si>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</si>
  <si>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</si>
  <si>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</si>
  <si>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</si>
  <si>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</si>
  <si>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</si>
  <si>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</si>
  <si>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</si>
  <si>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</si>
  <si>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</si>
  <si>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</si>
  <si>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</si>
  <si>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</si>
  <si>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</si>
  <si>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</si>
  <si>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</si>
  <si>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</si>
  <si>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</si>
  <si>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</si>
  <si>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</si>
  <si>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</si>
  <si>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</si>
  <si>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</si>
  <si>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</si>
  <si>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</si>
  <si>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</si>
  <si>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</si>
  <si>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</si>
  <si>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</si>
  <si>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</si>
  <si>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</si>
  <si>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</si>
  <si>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</si>
  <si>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</si>
  <si>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</si>
  <si>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</si>
  <si>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</si>
  <si>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</si>
  <si>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</si>
  <si>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</si>
  <si>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</si>
  <si>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</si>
  <si>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</si>
  <si>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</si>
  <si>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</si>
  <si>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</si>
  <si>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</si>
  <si>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</si>
  <si>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</si>
  <si>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</si>
  <si>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</si>
  <si>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</si>
  <si>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</si>
  <si>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</si>
  <si>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</si>
  <si>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</si>
  <si>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</si>
  <si>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</si>
  <si>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</si>
  <si>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</si>
  <si>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</si>
  <si>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</si>
  <si>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</si>
  <si>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</si>
  <si>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</si>
  <si>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</si>
  <si>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</si>
  <si>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</si>
  <si>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</si>
  <si>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</si>
  <si>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</si>
  <si>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</si>
  <si>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</si>
  <si>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</si>
  <si>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</si>
  <si>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</si>
  <si>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</si>
  <si>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</si>
  <si>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</si>
  <si>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</si>
  <si>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</si>
  <si>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</si>
  <si>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</si>
  <si>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</si>
  <si>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</si>
  <si>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</si>
  <si>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</si>
  <si>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</si>
  <si>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</si>
  <si>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</si>
  <si>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</si>
  <si>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</si>
  <si>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</si>
  <si>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</si>
  <si>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</si>
  <si>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</si>
  <si>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</si>
  <si>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</si>
  <si>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</si>
  <si>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</si>
  <si>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</si>
  <si>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</si>
  <si>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</si>
  <si>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</si>
  <si>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</si>
  <si>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</si>
  <si>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</si>
  <si>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</si>
  <si>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</si>
  <si>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</si>
  <si>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</si>
  <si>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</si>
  <si>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</si>
  <si>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</si>
  <si>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</si>
  <si>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</si>
  <si>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</si>
  <si>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</si>
  <si>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</si>
  <si>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</si>
  <si>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</si>
  <si>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</si>
  <si>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</si>
  <si>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</si>
  <si>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</si>
  <si>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</si>
  <si>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</si>
  <si>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</si>
  <si>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</si>
  <si>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</si>
  <si>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</si>
  <si>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</si>
  <si>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</si>
  <si>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</si>
  <si>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</si>
  <si>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</si>
  <si>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</si>
  <si>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</si>
  <si>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</si>
  <si>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</si>
  <si>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</si>
  <si>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</si>
  <si>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</si>
  <si>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</si>
  <si>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</si>
  <si>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</si>
  <si>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</si>
  <si>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</si>
  <si>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</si>
  <si>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</si>
  <si>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</si>
  <si>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</si>
  <si>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</si>
  <si>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</si>
  <si>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</si>
  <si>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</si>
  <si>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</si>
  <si>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</si>
  <si>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</si>
  <si>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</si>
  <si>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</si>
  <si>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</si>
  <si>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</si>
  <si>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</si>
  <si>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</si>
  <si>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</si>
  <si>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</si>
  <si>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</si>
  <si>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</si>
  <si>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</si>
  <si>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</si>
  <si>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</si>
  <si>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</si>
  <si>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</si>
  <si>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</si>
  <si>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</si>
  <si>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</si>
  <si>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</si>
  <si>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</si>
  <si>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</si>
  <si>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</si>
  <si>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</si>
  <si>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</si>
  <si>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</si>
  <si>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</si>
  <si>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</si>
  <si>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</si>
  <si>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</si>
  <si>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</si>
  <si>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</si>
  <si>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</si>
  <si>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</si>
  <si>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</si>
  <si>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</si>
  <si>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</si>
  <si>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</si>
  <si>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</si>
  <si>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</si>
  <si>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</si>
  <si>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</si>
  <si>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</si>
  <si>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</si>
  <si>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</si>
  <si>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</si>
  <si>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</si>
  <si>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</si>
  <si>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</si>
  <si>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</si>
  <si>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</si>
  <si>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</si>
  <si>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</si>
  <si>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</si>
  <si>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</si>
  <si>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</si>
  <si>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</si>
  <si>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</si>
  <si>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</si>
  <si>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</si>
  <si>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</si>
  <si>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</si>
  <si>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</si>
  <si>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</si>
  <si>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</si>
  <si>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</si>
  <si>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</si>
  <si>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</si>
  <si>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</si>
  <si>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</si>
  <si>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</si>
  <si>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</si>
  <si>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</si>
  <si>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</si>
  <si>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</si>
  <si>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</si>
  <si>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</si>
  <si>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</si>
  <si>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</si>
  <si>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</si>
  <si>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</si>
  <si>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</si>
  <si>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</si>
  <si>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</si>
  <si>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</si>
  <si>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</si>
  <si>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</si>
  <si>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</si>
  <si>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</si>
  <si>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</si>
  <si>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</si>
  <si>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</si>
  <si>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</si>
  <si>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</si>
  <si>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</si>
  <si>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</si>
  <si>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</si>
  <si>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</si>
  <si>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</si>
  <si>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</si>
  <si>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</si>
  <si>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</si>
  <si>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</si>
  <si>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</si>
  <si>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</si>
  <si>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</si>
  <si>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</si>
  <si>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</si>
  <si>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</si>
  <si>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</si>
  <si>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</si>
  <si>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</si>
  <si>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</si>
  <si>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</si>
  <si>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</si>
  <si>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</si>
  <si>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</si>
  <si>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</si>
  <si>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</si>
  <si>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</si>
  <si>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</si>
  <si>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</si>
  <si>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</si>
  <si>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</si>
  <si>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</si>
  <si>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</si>
  <si>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</si>
  <si>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</si>
  <si>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</si>
  <si>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</si>
  <si>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</si>
  <si>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</si>
  <si>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</si>
  <si>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</si>
  <si>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</si>
  <si>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</si>
  <si>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</si>
  <si>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</si>
  <si>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</si>
  <si>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</si>
  <si>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</si>
  <si>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</si>
  <si>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</si>
  <si>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</si>
  <si>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</si>
  <si>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</si>
  <si>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</si>
  <si>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</si>
  <si>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</si>
  <si>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</si>
  <si>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</si>
  <si>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</si>
  <si>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</si>
  <si>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</si>
  <si>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</si>
  <si>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</si>
  <si>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</si>
  <si>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</si>
  <si>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</si>
  <si>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</si>
  <si>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</si>
  <si>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</si>
  <si>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</si>
  <si>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</si>
  <si>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</si>
  <si>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</si>
  <si>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</si>
  <si>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</si>
  <si>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</si>
  <si>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</si>
  <si>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</si>
  <si>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</si>
  <si>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</si>
  <si>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</si>
  <si>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</si>
  <si>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</si>
  <si>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</si>
  <si>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</si>
  <si>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</si>
  <si>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</si>
  <si>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</si>
  <si>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</si>
  <si>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</si>
  <si>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</si>
  <si>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</si>
  <si>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</si>
  <si>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</si>
  <si>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</si>
  <si>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</si>
  <si>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</si>
  <si>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</si>
  <si>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</si>
  <si>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</si>
  <si>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</si>
  <si>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</si>
  <si>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</si>
  <si>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</si>
  <si>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</si>
  <si>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</si>
  <si>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</si>
  <si>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</si>
  <si>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</si>
  <si>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</si>
  <si>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</si>
  <si>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</si>
  <si>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</si>
  <si>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</si>
  <si>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</si>
  <si>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</si>
  <si>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</si>
  <si>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</si>
  <si>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</si>
  <si>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</si>
  <si>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</si>
  <si>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</si>
  <si>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</si>
  <si>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</si>
  <si>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</si>
  <si>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</si>
  <si>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</si>
  <si>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</si>
  <si>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</si>
  <si>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</si>
  <si>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</si>
  <si>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</si>
  <si>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</si>
  <si>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</si>
  <si>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</si>
  <si>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</si>
  <si>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</si>
  <si>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</si>
  <si>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</si>
  <si>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</si>
  <si>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</si>
  <si>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</si>
  <si>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</si>
  <si>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</si>
  <si>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</si>
  <si>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</si>
  <si>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</si>
  <si>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</si>
  <si>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</si>
  <si>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</si>
  <si>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</si>
  <si>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</si>
  <si>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</si>
  <si>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</si>
  <si>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</si>
  <si>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</si>
  <si>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</si>
  <si>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</si>
  <si>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</si>
  <si>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</si>
  <si>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</si>
  <si>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</si>
  <si>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</si>
  <si>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</si>
  <si>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</si>
  <si>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</si>
  <si>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</si>
  <si>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</si>
  <si>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</si>
  <si>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</si>
  <si>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</si>
  <si>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</si>
  <si>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</si>
  <si>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</si>
  <si>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</si>
  <si>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</si>
  <si>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</si>
  <si>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</si>
  <si>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</si>
  <si>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</si>
  <si>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</si>
  <si>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</si>
  <si>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</si>
  <si>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</si>
  <si>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</si>
  <si>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</si>
  <si>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</si>
  <si>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</si>
  <si>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</si>
  <si>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</si>
  <si>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</si>
  <si>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</si>
  <si>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</si>
  <si>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</si>
  <si>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</si>
  <si>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</si>
  <si>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</si>
  <si>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</si>
  <si>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</si>
  <si>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</si>
  <si>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</si>
  <si>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</si>
  <si>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</si>
  <si>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</si>
  <si>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</si>
  <si>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</si>
  <si>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</si>
  <si>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</si>
  <si>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</si>
  <si>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</si>
  <si>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</si>
  <si>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</si>
  <si>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</si>
  <si>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</si>
  <si>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</si>
  <si>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</si>
  <si>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</si>
  <si>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</si>
  <si>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</si>
  <si>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</si>
  <si>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</si>
  <si>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</si>
  <si>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</si>
  <si>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</si>
  <si>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</si>
  <si>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</si>
  <si>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</si>
  <si>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</si>
  <si>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</si>
  <si>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</si>
  <si>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</si>
  <si>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</si>
  <si>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</si>
  <si>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</si>
  <si>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</si>
  <si>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</si>
  <si>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</si>
  <si>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</si>
  <si>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</si>
  <si>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</si>
  <si>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</si>
  <si>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</si>
  <si>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</si>
  <si>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</si>
  <si>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</si>
  <si>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</si>
  <si>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</si>
  <si>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</si>
  <si>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</si>
  <si>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</si>
  <si>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</si>
  <si>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</si>
  <si>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</si>
  <si>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</si>
  <si>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</si>
  <si>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</si>
  <si>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</si>
  <si>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</si>
  <si>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</si>
  <si>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</si>
  <si>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</si>
  <si>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</si>
  <si>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</si>
  <si>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</si>
  <si>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</si>
  <si>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</si>
  <si>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</si>
  <si>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</si>
  <si>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</si>
  <si>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</si>
  <si>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</si>
  <si>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</si>
  <si>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</si>
  <si>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</si>
  <si>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</si>
  <si>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</si>
  <si>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</si>
  <si>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</si>
  <si>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</si>
  <si>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</si>
  <si>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</si>
  <si>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</si>
  <si>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</si>
  <si>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</si>
  <si>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</si>
  <si>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</si>
  <si>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</si>
  <si>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</si>
  <si>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</si>
  <si>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</si>
  <si>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</si>
  <si>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</si>
  <si>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</si>
  <si>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</si>
  <si>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</si>
  <si>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</si>
  <si>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</si>
  <si>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</si>
  <si>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</si>
  <si>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</si>
  <si>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</si>
  <si>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</si>
  <si>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</si>
  <si>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</si>
  <si>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</si>
  <si>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</si>
  <si>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</si>
  <si>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</si>
  <si>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</si>
  <si>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</si>
  <si>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</si>
  <si>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</si>
  <si>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</si>
  <si>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</si>
  <si>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</si>
  <si>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</si>
  <si>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</si>
  <si>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</si>
  <si>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</si>
  <si>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</si>
  <si>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</si>
  <si>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</si>
  <si>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</si>
  <si>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</si>
  <si>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</si>
  <si>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</si>
  <si>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</si>
  <si>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</si>
  <si>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</si>
  <si>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</si>
  <si>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</si>
  <si>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</si>
  <si>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</si>
  <si>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</si>
  <si>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</si>
  <si>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</si>
  <si>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</si>
  <si>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</si>
  <si>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</si>
  <si>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</si>
  <si>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</si>
  <si>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</si>
  <si>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</si>
  <si>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</si>
  <si>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</si>
  <si>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</si>
  <si>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</si>
  <si>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</si>
  <si>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</si>
  <si>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</si>
  <si>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</si>
  <si>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</si>
  <si>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</si>
  <si>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</si>
  <si>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</si>
  <si>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</si>
  <si>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</si>
  <si>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</si>
  <si>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</si>
  <si>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</si>
  <si>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</si>
  <si>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</si>
  <si>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</si>
  <si>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</si>
  <si>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</si>
  <si>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</si>
  <si>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</si>
  <si>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</si>
  <si>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</si>
  <si>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</si>
  <si>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</si>
  <si>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</si>
  <si>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</si>
  <si>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</si>
  <si>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</si>
  <si>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</si>
  <si>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</si>
  <si>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</si>
  <si>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</si>
  <si>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</si>
  <si>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</si>
  <si>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</si>
  <si>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</si>
  <si>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</si>
  <si>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</si>
  <si>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</si>
  <si>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</si>
  <si>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</si>
  <si>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</si>
  <si>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</si>
  <si>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</si>
  <si>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</si>
  <si>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</si>
  <si>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</si>
  <si>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</si>
  <si>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</si>
  <si>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</si>
  <si>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</si>
  <si>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</si>
  <si>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</si>
  <si>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</si>
  <si>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</si>
  <si>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</si>
  <si>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</si>
  <si>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</si>
  <si>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</si>
  <si>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</si>
  <si>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</si>
  <si>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</si>
  <si>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</si>
  <si>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</si>
  <si>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</si>
  <si>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</si>
  <si>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</si>
  <si>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</si>
  <si>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</si>
  <si>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</si>
  <si>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</si>
  <si>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</si>
  <si>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</si>
  <si>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</si>
  <si>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</si>
  <si>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</si>
  <si>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</si>
  <si>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</si>
  <si>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</si>
  <si>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</si>
  <si>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</si>
  <si>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</si>
  <si>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</si>
  <si>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</si>
  <si>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</si>
  <si>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</si>
  <si>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</si>
  <si>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</si>
  <si>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</si>
  <si>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</si>
  <si>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</si>
  <si>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</si>
  <si>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</si>
  <si>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</si>
  <si>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</si>
  <si>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</si>
  <si>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</si>
  <si>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</si>
  <si>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</si>
  <si>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</si>
  <si>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</si>
  <si>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</si>
  <si>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</si>
  <si>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</si>
  <si>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</si>
  <si>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</si>
  <si>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</si>
  <si>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</si>
  <si>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</si>
  <si>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</si>
  <si>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</si>
  <si>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</si>
  <si>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</si>
  <si>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</si>
  <si>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</si>
  <si>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</si>
  <si>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</si>
  <si>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</si>
  <si>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</si>
  <si>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</si>
  <si>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</si>
  <si>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</si>
  <si>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</si>
  <si>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</si>
  <si>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</si>
  <si>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</si>
  <si>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</si>
  <si>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</si>
  <si>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</si>
  <si>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</si>
  <si>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</si>
  <si>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</si>
  <si>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</si>
  <si>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</si>
  <si>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</si>
  <si>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</si>
  <si>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</si>
  <si>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</si>
  <si>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</si>
  <si>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</si>
  <si>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</si>
  <si>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</si>
  <si>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</si>
  <si>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</si>
  <si>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</si>
  <si>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</si>
  <si>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</si>
  <si>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</si>
  <si>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</si>
  <si>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</si>
  <si>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</si>
  <si>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</si>
  <si>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</si>
  <si>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</si>
  <si>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</si>
  <si>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</si>
  <si>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</si>
  <si>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</si>
  <si>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</si>
  <si>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</si>
  <si>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</si>
  <si>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</si>
  <si>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</si>
  <si>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</si>
  <si>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</si>
  <si>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</si>
  <si>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</si>
  <si>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</si>
  <si>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</si>
  <si>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</si>
  <si>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</si>
  <si>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</si>
  <si>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</si>
  <si>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</si>
  <si>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</si>
  <si>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</si>
  <si>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</si>
  <si>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</si>
  <si>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</si>
  <si>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</si>
  <si>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</si>
  <si>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</si>
  <si>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</si>
  <si>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</si>
  <si>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</si>
  <si>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</si>
  <si>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</si>
  <si>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</si>
  <si>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</si>
  <si>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</si>
  <si>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</si>
  <si>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</si>
  <si>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</si>
  <si>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</si>
  <si>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</si>
  <si>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</si>
  <si>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</si>
  <si>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</si>
  <si>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</si>
  <si>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</si>
  <si>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</si>
  <si>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</si>
  <si>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</si>
  <si>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</si>
  <si>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Gorham Randolph Shelburne Cooperative</t>
  </si>
  <si>
    <t>5/29/08</t>
  </si>
  <si>
    <t>7/15/2013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</si>
</sst>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0" xfId="0" applyNumberFormat="1" applyFont="1" applyProtection="1">
      <protection locked="0"/>
    </xf>
    <xf numFmtId="40" fontId="2" fillId="0" borderId="5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203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338280.48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1306.79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44872.67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23223.27</v>
      </c>
      <c r="G13" s="18">
        <v>12475.98</v>
      </c>
      <c r="H13" s="18">
        <v>40569.18</v>
      </c>
      <c r="I13" s="18"/>
      <c r="J13" s="67">
        <f>SUM(I441)</f>
        <v>797555.03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377.78</v>
      </c>
      <c r="G14" s="18">
        <v>11794.25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40.6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408060.99</v>
      </c>
      <c r="G19" s="41">
        <f>SUM(G9:G18)</f>
        <v>24270.23</v>
      </c>
      <c r="H19" s="41">
        <f>SUM(H9:H18)</f>
        <v>40609.78</v>
      </c>
      <c r="I19" s="41">
        <f>SUM(I9:I18)</f>
        <v>0</v>
      </c>
      <c r="J19" s="41">
        <f>SUM(J9:J18)</f>
        <v>797555.03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16096.92</v>
      </c>
      <c r="H22" s="18">
        <v>28775.75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500</v>
      </c>
      <c r="G23" s="18"/>
      <c r="H23" s="18">
        <v>2611.67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14472.83</v>
      </c>
      <c r="G24" s="18"/>
      <c r="H24" s="18">
        <v>455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1092.98</v>
      </c>
      <c r="G28" s="18"/>
      <c r="H28" s="18">
        <v>2391.54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-731.71-12.09</f>
        <v>-743.80000000000007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1536</v>
      </c>
      <c r="G30" s="18"/>
      <c r="H30" s="18">
        <v>6375.82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16858.010000000002</v>
      </c>
      <c r="G32" s="41">
        <f>SUM(G22:G31)</f>
        <v>16096.92</v>
      </c>
      <c r="H32" s="41">
        <f>SUM(H22:H31)</f>
        <v>40609.78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28930.78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103.21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8173.31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768521.04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346202.98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391202.98</v>
      </c>
      <c r="G50" s="41">
        <f>SUM(G35:G49)</f>
        <v>8173.31</v>
      </c>
      <c r="H50" s="41">
        <f>SUM(H35:H49)</f>
        <v>0</v>
      </c>
      <c r="I50" s="41">
        <f>SUM(I35:I49)</f>
        <v>0</v>
      </c>
      <c r="J50" s="41">
        <f>SUM(J35:J49)</f>
        <v>797555.03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408060.99</v>
      </c>
      <c r="G51" s="41">
        <f>G50+G32</f>
        <v>24270.23</v>
      </c>
      <c r="H51" s="41">
        <f>H50+H32</f>
        <v>40609.78</v>
      </c>
      <c r="I51" s="41">
        <f>I50+I32</f>
        <v>0</v>
      </c>
      <c r="J51" s="41">
        <f>J50+J32</f>
        <v>797555.03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4053466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4053466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700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42936.11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43636.11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383.1</v>
      </c>
      <c r="G95" s="18"/>
      <c r="H95" s="18"/>
      <c r="I95" s="18"/>
      <c r="J95" s="18">
        <v>569.57000000000005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116826.08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2527.23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5200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919.06</v>
      </c>
      <c r="G101" s="18"/>
      <c r="H101" s="18">
        <v>23210.1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50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40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26533.81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2736.78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38389.979999999996</v>
      </c>
      <c r="G110" s="41">
        <f>SUM(G95:G109)</f>
        <v>116826.08</v>
      </c>
      <c r="H110" s="41">
        <f>SUM(H95:H109)</f>
        <v>23210.1</v>
      </c>
      <c r="I110" s="41">
        <f>SUM(I95:I109)</f>
        <v>0</v>
      </c>
      <c r="J110" s="41">
        <f>SUM(J95:J109)</f>
        <v>569.57000000000005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4135492.09</v>
      </c>
      <c r="G111" s="41">
        <f>G59+G110</f>
        <v>116826.08</v>
      </c>
      <c r="H111" s="41">
        <f>H59+H78+H93+H110</f>
        <v>23210.1</v>
      </c>
      <c r="I111" s="41">
        <f>I59+I110</f>
        <v>0</v>
      </c>
      <c r="J111" s="41">
        <f>J59+J110</f>
        <v>569.57000000000005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2119910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824433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2944343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622890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3345.94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2586.92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16326.65</v>
      </c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626235.93999999994</v>
      </c>
      <c r="G135" s="41">
        <f>SUM(G122:G134)</f>
        <v>18913.57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3570578.94</v>
      </c>
      <c r="G139" s="41">
        <f>G120+SUM(G135:G136)</f>
        <v>18913.57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50978.9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63920.55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36692.33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80619.649999999994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106124.03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51545.760000000002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51545.760000000002</v>
      </c>
      <c r="G161" s="41">
        <f>SUM(G149:G160)</f>
        <v>80619.649999999994</v>
      </c>
      <c r="H161" s="41">
        <f>SUM(H149:H160)</f>
        <v>257715.81000000003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31949.599999999999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83495.360000000001</v>
      </c>
      <c r="G168" s="41">
        <f>G146+G161+SUM(G162:G167)</f>
        <v>80619.649999999994</v>
      </c>
      <c r="H168" s="41">
        <f>H146+H161+SUM(H162:H167)</f>
        <v>257715.81000000003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70661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70661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256.54000000000002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256.54000000000002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70661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7789822.9299999997</v>
      </c>
      <c r="G192" s="47">
        <f>G111+G139+G168+G191</f>
        <v>216359.3</v>
      </c>
      <c r="H192" s="47">
        <f>H111+H139+H168+H191</f>
        <v>280925.91000000003</v>
      </c>
      <c r="I192" s="47">
        <f>I111+I139+I168+I191</f>
        <v>0</v>
      </c>
      <c r="J192" s="47">
        <f>J111+J139+J191</f>
        <v>71230.570000000007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684727.07</v>
      </c>
      <c r="G196" s="18">
        <v>315960.7</v>
      </c>
      <c r="H196" s="18">
        <v>3412.93</v>
      </c>
      <c r="I196" s="18">
        <v>33432.69</v>
      </c>
      <c r="J196" s="18">
        <v>2415.4899999999998</v>
      </c>
      <c r="K196" s="18">
        <v>2720</v>
      </c>
      <c r="L196" s="19">
        <f>SUM(F196:K196)</f>
        <v>1042668.8800000001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257963.59</v>
      </c>
      <c r="G197" s="18">
        <v>180127.87</v>
      </c>
      <c r="H197" s="18">
        <f>38584.46+9805.01</f>
        <v>48389.47</v>
      </c>
      <c r="I197" s="18">
        <f>2922.66+38.85</f>
        <v>2961.5099999999998</v>
      </c>
      <c r="J197" s="18">
        <v>29.88</v>
      </c>
      <c r="K197" s="18"/>
      <c r="L197" s="19">
        <f>SUM(F197:K197)</f>
        <v>489472.31999999995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9032.49</v>
      </c>
      <c r="G199" s="18">
        <v>1208.47</v>
      </c>
      <c r="H199" s="18">
        <v>3370.94</v>
      </c>
      <c r="I199" s="18"/>
      <c r="J199" s="18"/>
      <c r="K199" s="18">
        <v>110</v>
      </c>
      <c r="L199" s="19">
        <f>SUM(F199:K199)</f>
        <v>13721.9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121161.6+9621.5</f>
        <v>130783.1</v>
      </c>
      <c r="G201" s="18">
        <f>60540.57+5088.02</f>
        <v>65628.59</v>
      </c>
      <c r="H201" s="18">
        <f>176104.13+11163.99</f>
        <v>187268.12</v>
      </c>
      <c r="I201" s="18">
        <v>3516.89</v>
      </c>
      <c r="J201" s="18"/>
      <c r="K201" s="18">
        <v>419</v>
      </c>
      <c r="L201" s="19">
        <f t="shared" ref="L201:L207" si="0">SUM(F201:K201)</f>
        <v>387615.7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46424.36</v>
      </c>
      <c r="G202" s="18">
        <v>25553.39</v>
      </c>
      <c r="H202" s="18">
        <v>17559.099999999999</v>
      </c>
      <c r="I202" s="18">
        <v>6528.74</v>
      </c>
      <c r="J202" s="18">
        <v>15631.48</v>
      </c>
      <c r="K202" s="18">
        <v>400</v>
      </c>
      <c r="L202" s="19">
        <f t="shared" si="0"/>
        <v>112097.07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5683.11</v>
      </c>
      <c r="G203" s="18">
        <v>461.47</v>
      </c>
      <c r="H203" s="18">
        <v>206967.2</v>
      </c>
      <c r="I203" s="18">
        <v>558.53</v>
      </c>
      <c r="J203" s="18"/>
      <c r="K203" s="18">
        <v>1713.83</v>
      </c>
      <c r="L203" s="19">
        <f t="shared" si="0"/>
        <v>215384.13999999998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93179.65</v>
      </c>
      <c r="G204" s="18">
        <v>60325.81</v>
      </c>
      <c r="H204" s="18">
        <v>7278.42</v>
      </c>
      <c r="I204" s="18">
        <v>1354.87</v>
      </c>
      <c r="J204" s="18"/>
      <c r="K204" s="18">
        <v>2033.15</v>
      </c>
      <c r="L204" s="19">
        <f t="shared" si="0"/>
        <v>164171.9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76513.31</v>
      </c>
      <c r="G206" s="18">
        <v>47250.13</v>
      </c>
      <c r="H206" s="18">
        <v>25576.400000000001</v>
      </c>
      <c r="I206" s="18">
        <v>57035.98</v>
      </c>
      <c r="J206" s="18">
        <v>17183.669999999998</v>
      </c>
      <c r="K206" s="18"/>
      <c r="L206" s="19">
        <f t="shared" si="0"/>
        <v>223559.49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34237.199999999997</v>
      </c>
      <c r="G207" s="18">
        <v>13716.12</v>
      </c>
      <c r="H207" s="18">
        <v>29731.83</v>
      </c>
      <c r="I207" s="18">
        <v>15425.46</v>
      </c>
      <c r="J207" s="18"/>
      <c r="K207" s="18">
        <v>175.4</v>
      </c>
      <c r="L207" s="19">
        <f t="shared" si="0"/>
        <v>93286.00999999998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1338543.8800000001</v>
      </c>
      <c r="G210" s="41">
        <f t="shared" si="1"/>
        <v>710232.55</v>
      </c>
      <c r="H210" s="41">
        <f t="shared" si="1"/>
        <v>529554.41</v>
      </c>
      <c r="I210" s="41">
        <f t="shared" si="1"/>
        <v>120814.67000000001</v>
      </c>
      <c r="J210" s="41">
        <f t="shared" si="1"/>
        <v>35260.519999999997</v>
      </c>
      <c r="K210" s="41">
        <f t="shared" si="1"/>
        <v>7571.3799999999992</v>
      </c>
      <c r="L210" s="41">
        <f t="shared" si="1"/>
        <v>2741977.41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376606.68</v>
      </c>
      <c r="G214" s="18">
        <v>181320.95</v>
      </c>
      <c r="H214" s="18">
        <v>18334.28</v>
      </c>
      <c r="I214" s="18">
        <v>17360.03</v>
      </c>
      <c r="J214" s="18">
        <v>870.01</v>
      </c>
      <c r="K214" s="18">
        <v>3415</v>
      </c>
      <c r="L214" s="19">
        <f>SUM(F214:K214)</f>
        <v>597906.95000000007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144309.87</v>
      </c>
      <c r="G215" s="18">
        <v>69462.679999999993</v>
      </c>
      <c r="H215" s="18">
        <v>609.57000000000005</v>
      </c>
      <c r="I215" s="18">
        <v>623.13</v>
      </c>
      <c r="J215" s="18">
        <v>1946.39</v>
      </c>
      <c r="K215" s="18"/>
      <c r="L215" s="19">
        <f>SUM(F215:K215)</f>
        <v>216951.64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20788.330000000002</v>
      </c>
      <c r="G217" s="18">
        <v>3022.82</v>
      </c>
      <c r="H217" s="18">
        <v>3927.26</v>
      </c>
      <c r="I217" s="18">
        <v>389.55</v>
      </c>
      <c r="J217" s="18"/>
      <c r="K217" s="18">
        <v>1187</v>
      </c>
      <c r="L217" s="19">
        <f>SUM(F217:K217)</f>
        <v>29314.960000000003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68821.990000000005</v>
      </c>
      <c r="G219" s="18">
        <v>34127.26</v>
      </c>
      <c r="H219" s="18">
        <v>26323.11</v>
      </c>
      <c r="I219" s="18">
        <v>3127.9</v>
      </c>
      <c r="J219" s="18">
        <v>619.28</v>
      </c>
      <c r="K219" s="18">
        <v>501</v>
      </c>
      <c r="L219" s="19">
        <f t="shared" ref="L219:L225" si="2">SUM(F219:K219)</f>
        <v>133520.54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24064.21</v>
      </c>
      <c r="G220" s="18">
        <v>11361.99</v>
      </c>
      <c r="H220" s="18">
        <v>2502.6</v>
      </c>
      <c r="I220" s="18">
        <v>4199.03</v>
      </c>
      <c r="J220" s="18">
        <v>6468.32</v>
      </c>
      <c r="K220" s="18">
        <v>642.6</v>
      </c>
      <c r="L220" s="19">
        <f t="shared" si="2"/>
        <v>49238.749999999993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2949.86</v>
      </c>
      <c r="G221" s="18">
        <v>239.53</v>
      </c>
      <c r="H221" s="18">
        <v>107427.87</v>
      </c>
      <c r="I221" s="18">
        <v>289.91000000000003</v>
      </c>
      <c r="J221" s="18">
        <v>0</v>
      </c>
      <c r="K221" s="18">
        <v>889.57</v>
      </c>
      <c r="L221" s="19">
        <f t="shared" si="2"/>
        <v>111796.74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73724.31</v>
      </c>
      <c r="G222" s="18">
        <v>41224.839999999997</v>
      </c>
      <c r="H222" s="18">
        <v>7387.57</v>
      </c>
      <c r="I222" s="18">
        <v>1066.8900000000001</v>
      </c>
      <c r="J222" s="18">
        <v>959.09</v>
      </c>
      <c r="K222" s="18">
        <v>2857.21</v>
      </c>
      <c r="L222" s="19">
        <f t="shared" si="2"/>
        <v>127219.91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44367.25</v>
      </c>
      <c r="G224" s="18">
        <v>26994.57</v>
      </c>
      <c r="H224" s="18">
        <v>19595.060000000001</v>
      </c>
      <c r="I224" s="18">
        <v>60229.79</v>
      </c>
      <c r="J224" s="18">
        <v>10645.32</v>
      </c>
      <c r="K224" s="18"/>
      <c r="L224" s="19">
        <f t="shared" si="2"/>
        <v>161831.99000000002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21035.09</v>
      </c>
      <c r="G225" s="18">
        <v>7927.12</v>
      </c>
      <c r="H225" s="18">
        <v>11062.06</v>
      </c>
      <c r="I225" s="18">
        <v>9223.0300000000007</v>
      </c>
      <c r="J225" s="18"/>
      <c r="K225" s="18">
        <v>98.4</v>
      </c>
      <c r="L225" s="19">
        <f t="shared" si="2"/>
        <v>49345.7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776667.59</v>
      </c>
      <c r="G228" s="41">
        <f>SUM(G214:G227)</f>
        <v>375681.76000000007</v>
      </c>
      <c r="H228" s="41">
        <f>SUM(H214:H227)</f>
        <v>197169.38</v>
      </c>
      <c r="I228" s="41">
        <f>SUM(I214:I227)</f>
        <v>96509.26</v>
      </c>
      <c r="J228" s="41">
        <f>SUM(J214:J227)</f>
        <v>21508.41</v>
      </c>
      <c r="K228" s="41">
        <f t="shared" si="3"/>
        <v>9590.7800000000007</v>
      </c>
      <c r="L228" s="41">
        <f t="shared" si="3"/>
        <v>1477127.18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594400.78</v>
      </c>
      <c r="G232" s="18">
        <v>252591.34</v>
      </c>
      <c r="H232" s="18">
        <v>10106.24</v>
      </c>
      <c r="I232" s="18">
        <v>45901.51</v>
      </c>
      <c r="J232" s="18">
        <v>7926.84</v>
      </c>
      <c r="K232" s="18">
        <v>8236.5</v>
      </c>
      <c r="L232" s="19">
        <f>SUM(F232:K232)</f>
        <v>919163.21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144449.35999999999</v>
      </c>
      <c r="G233" s="18">
        <v>74900.2</v>
      </c>
      <c r="H233" s="18">
        <v>39710.769999999997</v>
      </c>
      <c r="I233" s="18">
        <v>4978.38</v>
      </c>
      <c r="J233" s="18"/>
      <c r="K233" s="18"/>
      <c r="L233" s="19">
        <f>SUM(F233:K233)</f>
        <v>264038.70999999996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45763.4</v>
      </c>
      <c r="I234" s="18"/>
      <c r="J234" s="18"/>
      <c r="K234" s="18"/>
      <c r="L234" s="19">
        <f>SUM(F234:K234)</f>
        <v>45763.4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63041.23</v>
      </c>
      <c r="G235" s="18">
        <v>8798.56</v>
      </c>
      <c r="H235" s="18">
        <v>14816.99</v>
      </c>
      <c r="I235" s="18">
        <v>11599.54</v>
      </c>
      <c r="J235" s="18"/>
      <c r="K235" s="18">
        <v>5114</v>
      </c>
      <c r="L235" s="19">
        <f>SUM(F235:K235)</f>
        <v>103370.32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103077.41</v>
      </c>
      <c r="G237" s="18">
        <v>50255.62</v>
      </c>
      <c r="H237" s="18">
        <v>29389.26</v>
      </c>
      <c r="I237" s="18">
        <v>3742.3</v>
      </c>
      <c r="J237" s="18">
        <v>928.92</v>
      </c>
      <c r="K237" s="18">
        <v>279</v>
      </c>
      <c r="L237" s="19">
        <f t="shared" ref="L237:L243" si="4">SUM(F237:K237)</f>
        <v>187672.51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30543.11+137.5</f>
        <v>30680.61</v>
      </c>
      <c r="G238" s="18">
        <f>15844.87+25.49</f>
        <v>15870.36</v>
      </c>
      <c r="H238" s="18">
        <v>3754.77</v>
      </c>
      <c r="I238" s="18">
        <v>4241.1099999999997</v>
      </c>
      <c r="J238" s="18">
        <v>15574.65</v>
      </c>
      <c r="K238" s="18">
        <v>1288.9000000000001</v>
      </c>
      <c r="L238" s="19">
        <f t="shared" si="4"/>
        <v>71410.399999999994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4517.03</v>
      </c>
      <c r="G239" s="18">
        <v>366.79</v>
      </c>
      <c r="H239" s="18">
        <v>164501.1</v>
      </c>
      <c r="I239" s="18">
        <v>443.93</v>
      </c>
      <c r="J239" s="18"/>
      <c r="K239" s="18">
        <v>1362.18</v>
      </c>
      <c r="L239" s="19">
        <f t="shared" si="4"/>
        <v>171191.03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112208.44</v>
      </c>
      <c r="G240" s="18">
        <v>62156.56</v>
      </c>
      <c r="H240" s="18">
        <v>8587.0400000000009</v>
      </c>
      <c r="I240" s="18">
        <v>1369.55</v>
      </c>
      <c r="J240" s="18">
        <v>1438.71</v>
      </c>
      <c r="K240" s="18">
        <v>3862.89</v>
      </c>
      <c r="L240" s="19">
        <f t="shared" si="4"/>
        <v>189623.19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66350.17</v>
      </c>
      <c r="G242" s="18">
        <v>41217.11</v>
      </c>
      <c r="H242" s="18">
        <v>29949.05</v>
      </c>
      <c r="I242" s="18">
        <v>91406.15</v>
      </c>
      <c r="J242" s="18">
        <v>16453.91</v>
      </c>
      <c r="K242" s="18"/>
      <c r="L242" s="19">
        <f t="shared" si="4"/>
        <v>245376.38999999998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48225.29</v>
      </c>
      <c r="G243" s="18">
        <v>14486.91</v>
      </c>
      <c r="H243" s="18">
        <v>15690.05</v>
      </c>
      <c r="I243" s="18">
        <v>19108.98</v>
      </c>
      <c r="J243" s="18"/>
      <c r="K243" s="18">
        <v>154</v>
      </c>
      <c r="L243" s="19">
        <f t="shared" si="4"/>
        <v>97665.23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1166950.32</v>
      </c>
      <c r="G246" s="41">
        <f t="shared" si="5"/>
        <v>520643.4499999999</v>
      </c>
      <c r="H246" s="41">
        <f t="shared" si="5"/>
        <v>362268.67</v>
      </c>
      <c r="I246" s="41">
        <f t="shared" si="5"/>
        <v>182791.44999999998</v>
      </c>
      <c r="J246" s="41">
        <f t="shared" si="5"/>
        <v>42323.03</v>
      </c>
      <c r="K246" s="41">
        <f t="shared" si="5"/>
        <v>20297.47</v>
      </c>
      <c r="L246" s="41">
        <f t="shared" si="5"/>
        <v>2295274.3899999997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1350</v>
      </c>
      <c r="I254" s="18"/>
      <c r="J254" s="18"/>
      <c r="K254" s="18"/>
      <c r="L254" s="19">
        <f t="shared" si="6"/>
        <v>1350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1350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1350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3282161.79</v>
      </c>
      <c r="G256" s="41">
        <f t="shared" si="8"/>
        <v>1606557.76</v>
      </c>
      <c r="H256" s="41">
        <f t="shared" si="8"/>
        <v>1090342.46</v>
      </c>
      <c r="I256" s="41">
        <f t="shared" si="8"/>
        <v>400115.38</v>
      </c>
      <c r="J256" s="41">
        <f t="shared" si="8"/>
        <v>99091.959999999992</v>
      </c>
      <c r="K256" s="41">
        <f t="shared" si="8"/>
        <v>37459.630000000005</v>
      </c>
      <c r="L256" s="41">
        <f t="shared" si="8"/>
        <v>6515728.9799999995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1080527.1299999999</v>
      </c>
      <c r="L259" s="19">
        <f>SUM(F259:K259)</f>
        <v>1080527.1299999999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47199.67</v>
      </c>
      <c r="L260" s="19">
        <f>SUM(F260:K260)</f>
        <v>47199.67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70661</v>
      </c>
      <c r="L265" s="19">
        <f t="shared" si="9"/>
        <v>70661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11118</v>
      </c>
      <c r="L267" s="19">
        <f t="shared" si="9"/>
        <v>11118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1209505.7999999998</v>
      </c>
      <c r="L269" s="41">
        <f t="shared" si="9"/>
        <v>1209505.7999999998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3282161.79</v>
      </c>
      <c r="G270" s="42">
        <f t="shared" si="11"/>
        <v>1606557.76</v>
      </c>
      <c r="H270" s="42">
        <f t="shared" si="11"/>
        <v>1090342.46</v>
      </c>
      <c r="I270" s="42">
        <f t="shared" si="11"/>
        <v>400115.38</v>
      </c>
      <c r="J270" s="42">
        <f t="shared" si="11"/>
        <v>99091.959999999992</v>
      </c>
      <c r="K270" s="42">
        <f t="shared" si="11"/>
        <v>1246965.4299999997</v>
      </c>
      <c r="L270" s="42">
        <f t="shared" si="11"/>
        <v>7725234.7799999993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36334.25</v>
      </c>
      <c r="G275" s="18">
        <v>7132.41</v>
      </c>
      <c r="H275" s="18">
        <v>3579.03</v>
      </c>
      <c r="I275" s="18">
        <v>3900.31</v>
      </c>
      <c r="J275" s="18">
        <v>9586.02</v>
      </c>
      <c r="K275" s="18">
        <v>0</v>
      </c>
      <c r="L275" s="19">
        <f>SUM(F275:K275)</f>
        <v>60532.020000000004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32796.959999999999</v>
      </c>
      <c r="G276" s="18">
        <v>152.57</v>
      </c>
      <c r="H276" s="18"/>
      <c r="I276" s="18"/>
      <c r="J276" s="18"/>
      <c r="K276" s="18"/>
      <c r="L276" s="19">
        <f>SUM(F276:K276)</f>
        <v>32949.53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4901.5600000000004</v>
      </c>
      <c r="G278" s="18">
        <v>658.14</v>
      </c>
      <c r="H278" s="18"/>
      <c r="I278" s="18">
        <v>198.37</v>
      </c>
      <c r="J278" s="18"/>
      <c r="K278" s="18">
        <v>1160</v>
      </c>
      <c r="L278" s="19">
        <f>SUM(F278:K278)</f>
        <v>6918.0700000000006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5639.01</v>
      </c>
      <c r="I280" s="18"/>
      <c r="J280" s="18"/>
      <c r="K280" s="18"/>
      <c r="L280" s="19">
        <f t="shared" ref="L280:L286" si="12">SUM(F280:K280)</f>
        <v>5639.01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10239.620000000001</v>
      </c>
      <c r="G281" s="18">
        <v>1699.64</v>
      </c>
      <c r="H281" s="18">
        <v>6340.22</v>
      </c>
      <c r="I281" s="18">
        <v>1822.74</v>
      </c>
      <c r="J281" s="18">
        <v>4852.3999999999996</v>
      </c>
      <c r="K281" s="18">
        <v>6800</v>
      </c>
      <c r="L281" s="19">
        <f t="shared" si="12"/>
        <v>31754.620000000003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>
        <v>1750</v>
      </c>
      <c r="L283" s="19">
        <f t="shared" si="12"/>
        <v>1750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v>81.040000000000006</v>
      </c>
      <c r="J285" s="18"/>
      <c r="K285" s="18"/>
      <c r="L285" s="19">
        <f t="shared" si="12"/>
        <v>81.040000000000006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84272.389999999985</v>
      </c>
      <c r="G289" s="42">
        <f t="shared" si="13"/>
        <v>9642.76</v>
      </c>
      <c r="H289" s="42">
        <f t="shared" si="13"/>
        <v>15558.260000000002</v>
      </c>
      <c r="I289" s="42">
        <f t="shared" si="13"/>
        <v>6002.46</v>
      </c>
      <c r="J289" s="42">
        <f t="shared" si="13"/>
        <v>14438.42</v>
      </c>
      <c r="K289" s="42">
        <f t="shared" si="13"/>
        <v>9710</v>
      </c>
      <c r="L289" s="41">
        <f t="shared" si="13"/>
        <v>139624.29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>
        <v>2425.0300000000002</v>
      </c>
      <c r="K294" s="18"/>
      <c r="L294" s="19">
        <f>SUM(F294:K294)</f>
        <v>2425.0300000000002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30953.19</v>
      </c>
      <c r="G295" s="18"/>
      <c r="H295" s="18"/>
      <c r="I295" s="18"/>
      <c r="J295" s="18"/>
      <c r="K295" s="18"/>
      <c r="L295" s="19">
        <f>SUM(F295:K295)</f>
        <v>30953.19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>
        <v>2850</v>
      </c>
      <c r="I297" s="18"/>
      <c r="J297" s="18"/>
      <c r="K297" s="18">
        <v>2500</v>
      </c>
      <c r="L297" s="19">
        <f>SUM(F297:K297)</f>
        <v>5350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2225</v>
      </c>
      <c r="G300" s="18">
        <v>339.81</v>
      </c>
      <c r="H300" s="18">
        <v>613.91</v>
      </c>
      <c r="I300" s="18"/>
      <c r="J300" s="18">
        <v>3376.32</v>
      </c>
      <c r="K300" s="18"/>
      <c r="L300" s="19">
        <f t="shared" si="14"/>
        <v>6555.04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>
        <v>700</v>
      </c>
      <c r="L302" s="19">
        <f t="shared" si="14"/>
        <v>700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33178.19</v>
      </c>
      <c r="G308" s="42">
        <f t="shared" si="15"/>
        <v>339.81</v>
      </c>
      <c r="H308" s="42">
        <f t="shared" si="15"/>
        <v>3463.91</v>
      </c>
      <c r="I308" s="42">
        <f t="shared" si="15"/>
        <v>0</v>
      </c>
      <c r="J308" s="42">
        <f t="shared" si="15"/>
        <v>5801.35</v>
      </c>
      <c r="K308" s="42">
        <f t="shared" si="15"/>
        <v>3200</v>
      </c>
      <c r="L308" s="41">
        <f t="shared" si="15"/>
        <v>45983.26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>
        <v>34918.58</v>
      </c>
      <c r="K313" s="18"/>
      <c r="L313" s="19">
        <f>SUM(F313:K313)</f>
        <v>34918.58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30952.7</v>
      </c>
      <c r="G314" s="18"/>
      <c r="H314" s="18"/>
      <c r="I314" s="18"/>
      <c r="J314" s="18"/>
      <c r="K314" s="18"/>
      <c r="L314" s="19">
        <f>SUM(F314:K314)</f>
        <v>30952.7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600</v>
      </c>
      <c r="G316" s="18">
        <v>109.03</v>
      </c>
      <c r="H316" s="18"/>
      <c r="I316" s="18">
        <v>768.45</v>
      </c>
      <c r="J316" s="18"/>
      <c r="K316" s="18">
        <v>325</v>
      </c>
      <c r="L316" s="19">
        <f>SUM(F316:K316)</f>
        <v>1802.48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1750</v>
      </c>
      <c r="G318" s="18">
        <v>139.66</v>
      </c>
      <c r="H318" s="18"/>
      <c r="I318" s="18"/>
      <c r="J318" s="18"/>
      <c r="K318" s="18"/>
      <c r="L318" s="19">
        <f t="shared" ref="L318:L324" si="16">SUM(F318:K318)</f>
        <v>1889.66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2300</v>
      </c>
      <c r="G319" s="18">
        <v>435.97</v>
      </c>
      <c r="H319" s="18">
        <v>515.35</v>
      </c>
      <c r="I319" s="18">
        <v>127.99</v>
      </c>
      <c r="J319" s="18">
        <v>5529.28</v>
      </c>
      <c r="K319" s="18"/>
      <c r="L319" s="19">
        <f t="shared" si="16"/>
        <v>8908.59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>
        <v>1050</v>
      </c>
      <c r="L321" s="19">
        <f t="shared" si="16"/>
        <v>1050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35602.699999999997</v>
      </c>
      <c r="G327" s="42">
        <f t="shared" si="17"/>
        <v>684.66000000000008</v>
      </c>
      <c r="H327" s="42">
        <f t="shared" si="17"/>
        <v>515.35</v>
      </c>
      <c r="I327" s="42">
        <f t="shared" si="17"/>
        <v>896.44</v>
      </c>
      <c r="J327" s="42">
        <f t="shared" si="17"/>
        <v>40447.86</v>
      </c>
      <c r="K327" s="42">
        <f t="shared" si="17"/>
        <v>1375</v>
      </c>
      <c r="L327" s="41">
        <f t="shared" si="17"/>
        <v>79522.009999999995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153053.27999999997</v>
      </c>
      <c r="G337" s="41">
        <f t="shared" si="20"/>
        <v>10667.23</v>
      </c>
      <c r="H337" s="41">
        <f t="shared" si="20"/>
        <v>19537.52</v>
      </c>
      <c r="I337" s="41">
        <f t="shared" si="20"/>
        <v>6898.9</v>
      </c>
      <c r="J337" s="41">
        <f t="shared" si="20"/>
        <v>60687.630000000005</v>
      </c>
      <c r="K337" s="41">
        <f t="shared" si="20"/>
        <v>14285</v>
      </c>
      <c r="L337" s="41">
        <f t="shared" si="20"/>
        <v>265129.56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15796.35</v>
      </c>
      <c r="L349" s="19">
        <f t="shared" si="21"/>
        <v>15796.35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15796.35</v>
      </c>
      <c r="L350" s="41">
        <f>SUM(L340:L349)</f>
        <v>15796.35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153053.27999999997</v>
      </c>
      <c r="G351" s="41">
        <f>G337</f>
        <v>10667.23</v>
      </c>
      <c r="H351" s="41">
        <f>H337</f>
        <v>19537.52</v>
      </c>
      <c r="I351" s="41">
        <f>I337</f>
        <v>6898.9</v>
      </c>
      <c r="J351" s="41">
        <f>J337</f>
        <v>60687.630000000005</v>
      </c>
      <c r="K351" s="47">
        <f>K337+K350</f>
        <v>30081.35</v>
      </c>
      <c r="L351" s="41">
        <f>L337+L350</f>
        <v>280925.90999999997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85824.87</v>
      </c>
      <c r="I357" s="18">
        <v>7055.98</v>
      </c>
      <c r="J357" s="18"/>
      <c r="K357" s="18"/>
      <c r="L357" s="13">
        <f>SUM(F357:K357)</f>
        <v>92880.849999999991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44548.04</v>
      </c>
      <c r="I358" s="18">
        <v>3662.46</v>
      </c>
      <c r="J358" s="18"/>
      <c r="K358" s="18"/>
      <c r="L358" s="19">
        <f>SUM(F358:K358)</f>
        <v>48210.5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68215.09</v>
      </c>
      <c r="I359" s="18">
        <v>5608.21</v>
      </c>
      <c r="J359" s="18"/>
      <c r="K359" s="18"/>
      <c r="L359" s="19">
        <f>SUM(F359:K359)</f>
        <v>73823.3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198588</v>
      </c>
      <c r="I361" s="47">
        <f t="shared" si="22"/>
        <v>16326.649999999998</v>
      </c>
      <c r="J361" s="47">
        <f t="shared" si="22"/>
        <v>0</v>
      </c>
      <c r="K361" s="47">
        <f t="shared" si="22"/>
        <v>0</v>
      </c>
      <c r="L361" s="47">
        <f t="shared" si="22"/>
        <v>214914.64999999997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7055.98</v>
      </c>
      <c r="G366" s="18">
        <v>3662.46</v>
      </c>
      <c r="H366" s="18">
        <v>5608.21</v>
      </c>
      <c r="I366" s="56">
        <f>SUM(F366:H366)</f>
        <v>16326.649999999998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7055.98</v>
      </c>
      <c r="G368" s="47">
        <f>SUM(G366:G367)</f>
        <v>3662.46</v>
      </c>
      <c r="H368" s="47">
        <f>SUM(H366:H367)</f>
        <v>5608.21</v>
      </c>
      <c r="I368" s="47">
        <f>SUM(I366:I367)</f>
        <v>16326.649999999998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30661</v>
      </c>
      <c r="H387" s="18">
        <v>330.47</v>
      </c>
      <c r="I387" s="18"/>
      <c r="J387" s="24" t="s">
        <v>289</v>
      </c>
      <c r="K387" s="24" t="s">
        <v>289</v>
      </c>
      <c r="L387" s="56">
        <f t="shared" si="25"/>
        <v>30991.47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20000</v>
      </c>
      <c r="H389" s="18">
        <v>46.5</v>
      </c>
      <c r="I389" s="18"/>
      <c r="J389" s="24" t="s">
        <v>289</v>
      </c>
      <c r="K389" s="24" t="s">
        <v>289</v>
      </c>
      <c r="L389" s="56">
        <f t="shared" si="25"/>
        <v>20046.5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50661</v>
      </c>
      <c r="H392" s="139">
        <f>SUM(H386:H391)</f>
        <v>376.97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51037.97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10000</v>
      </c>
      <c r="H397" s="18">
        <v>82.56</v>
      </c>
      <c r="I397" s="18"/>
      <c r="J397" s="24" t="s">
        <v>289</v>
      </c>
      <c r="K397" s="24" t="s">
        <v>289</v>
      </c>
      <c r="L397" s="56">
        <f t="shared" si="26"/>
        <v>10082.56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32.159999999999997</v>
      </c>
      <c r="I398" s="18"/>
      <c r="J398" s="24" t="s">
        <v>289</v>
      </c>
      <c r="K398" s="24" t="s">
        <v>289</v>
      </c>
      <c r="L398" s="56">
        <f t="shared" si="26"/>
        <v>5032.16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</v>
      </c>
      <c r="H399" s="18">
        <v>77.88</v>
      </c>
      <c r="I399" s="18"/>
      <c r="J399" s="24" t="s">
        <v>289</v>
      </c>
      <c r="K399" s="24" t="s">
        <v>289</v>
      </c>
      <c r="L399" s="56">
        <f t="shared" si="26"/>
        <v>5077.88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192.6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20192.599999999999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70661</v>
      </c>
      <c r="H407" s="47">
        <f>H392+H400+H406</f>
        <v>569.57000000000005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71230.570000000007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1250</v>
      </c>
      <c r="L425" s="56">
        <f t="shared" si="29"/>
        <v>1250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1250</v>
      </c>
      <c r="L426" s="47">
        <f t="shared" si="30"/>
        <v>1250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1250</v>
      </c>
      <c r="L433" s="47">
        <f t="shared" si="32"/>
        <v>1250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528693.53</v>
      </c>
      <c r="G441" s="18">
        <v>268861.5</v>
      </c>
      <c r="H441" s="18"/>
      <c r="I441" s="56">
        <f t="shared" si="33"/>
        <v>797555.03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528693.53</v>
      </c>
      <c r="G445" s="13">
        <f>SUM(G438:G444)</f>
        <v>268861.5</v>
      </c>
      <c r="H445" s="13">
        <f>SUM(H438:H444)</f>
        <v>0</v>
      </c>
      <c r="I445" s="13">
        <f>SUM(I438:I444)</f>
        <v>797555.03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28930.78</v>
      </c>
      <c r="H456" s="18"/>
      <c r="I456" s="56">
        <f t="shared" si="34"/>
        <v>28930.78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>
        <v>103.21</v>
      </c>
      <c r="H457" s="18"/>
      <c r="I457" s="56">
        <f t="shared" si="34"/>
        <v>103.21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528693.53</v>
      </c>
      <c r="G458" s="18">
        <v>239827.51</v>
      </c>
      <c r="H458" s="18"/>
      <c r="I458" s="56">
        <f t="shared" si="34"/>
        <v>768521.04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528693.53</v>
      </c>
      <c r="G459" s="83">
        <f>SUM(G453:G458)</f>
        <v>268861.5</v>
      </c>
      <c r="H459" s="83">
        <f>SUM(H453:H458)</f>
        <v>0</v>
      </c>
      <c r="I459" s="83">
        <f>SUM(I453:I458)</f>
        <v>797555.03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528693.53</v>
      </c>
      <c r="G460" s="42">
        <f>G451+G459</f>
        <v>268861.5</v>
      </c>
      <c r="H460" s="42">
        <f>H451+H459</f>
        <v>0</v>
      </c>
      <c r="I460" s="42">
        <f>I451+I459</f>
        <v>797555.03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326614.83</v>
      </c>
      <c r="G464" s="18">
        <v>6728.66</v>
      </c>
      <c r="H464" s="18">
        <v>0</v>
      </c>
      <c r="I464" s="18"/>
      <c r="J464" s="18">
        <v>727574.46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7789822.9299999997</v>
      </c>
      <c r="G467" s="18">
        <v>216359.3</v>
      </c>
      <c r="H467" s="18">
        <v>280925.90999999997</v>
      </c>
      <c r="I467" s="18"/>
      <c r="J467" s="18">
        <v>71230.570000000007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7789822.9299999997</v>
      </c>
      <c r="G469" s="53">
        <f>SUM(G467:G468)</f>
        <v>216359.3</v>
      </c>
      <c r="H469" s="53">
        <f>SUM(H467:H468)</f>
        <v>280925.90999999997</v>
      </c>
      <c r="I469" s="53">
        <f>SUM(I467:I468)</f>
        <v>0</v>
      </c>
      <c r="J469" s="53">
        <f>SUM(J467:J468)</f>
        <v>71230.570000000007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7725234.7800000003</v>
      </c>
      <c r="G471" s="18">
        <v>214914.65</v>
      </c>
      <c r="H471" s="18">
        <v>280925.90999999997</v>
      </c>
      <c r="I471" s="18"/>
      <c r="J471" s="18">
        <v>1250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7725234.7800000003</v>
      </c>
      <c r="G473" s="53">
        <f>SUM(G471:G472)</f>
        <v>214914.65</v>
      </c>
      <c r="H473" s="53">
        <f>SUM(H471:H472)</f>
        <v>280925.90999999997</v>
      </c>
      <c r="I473" s="53">
        <f>SUM(I471:I472)</f>
        <v>0</v>
      </c>
      <c r="J473" s="53">
        <f>SUM(J471:J472)</f>
        <v>1250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391202.97999999952</v>
      </c>
      <c r="G475" s="53">
        <f>(G464+G469)- G473</f>
        <v>8173.3099999999977</v>
      </c>
      <c r="H475" s="53">
        <f>(H464+H469)- H473</f>
        <v>0</v>
      </c>
      <c r="I475" s="53">
        <f>(I464+I469)- I473</f>
        <v>0</v>
      </c>
      <c r="J475" s="53">
        <f>(J464+J469)- J473</f>
        <v>797555.03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275">
        <v>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6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276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274">
        <v>5385000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277">
        <v>3.14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2064875.3</v>
      </c>
      <c r="G494" s="18"/>
      <c r="H494" s="18"/>
      <c r="I494" s="18"/>
      <c r="J494" s="18"/>
      <c r="K494" s="53">
        <f>SUM(F494:J494)</f>
        <v>2064875.3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1080527.1299999999</v>
      </c>
      <c r="G496" s="18"/>
      <c r="H496" s="18"/>
      <c r="I496" s="18"/>
      <c r="J496" s="18"/>
      <c r="K496" s="53">
        <f t="shared" si="35"/>
        <v>1080527.1299999999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78">
        <v>987875</v>
      </c>
      <c r="G497" s="204"/>
      <c r="H497" s="204"/>
      <c r="I497" s="204"/>
      <c r="J497" s="204"/>
      <c r="K497" s="205">
        <f t="shared" si="35"/>
        <v>987875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15510</v>
      </c>
      <c r="G498" s="18"/>
      <c r="H498" s="18"/>
      <c r="I498" s="18"/>
      <c r="J498" s="18"/>
      <c r="K498" s="53">
        <f t="shared" si="35"/>
        <v>15510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1003385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1003385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987875</v>
      </c>
      <c r="G500" s="204"/>
      <c r="H500" s="204"/>
      <c r="I500" s="204"/>
      <c r="J500" s="204"/>
      <c r="K500" s="205">
        <f t="shared" si="35"/>
        <v>987875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15510</v>
      </c>
      <c r="G501" s="18"/>
      <c r="H501" s="18"/>
      <c r="I501" s="18"/>
      <c r="J501" s="18"/>
      <c r="K501" s="53">
        <f t="shared" si="35"/>
        <v>15510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1003385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1003385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97133.75</v>
      </c>
      <c r="G506" s="144">
        <v>5719.43</v>
      </c>
      <c r="H506" s="144"/>
      <c r="I506" s="144">
        <f>F506+G506</f>
        <v>102853.18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764750</v>
      </c>
      <c r="G510" s="24" t="s">
        <v>289</v>
      </c>
      <c r="H510" s="18">
        <v>764750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8764188</v>
      </c>
      <c r="G512" s="24" t="s">
        <v>289</v>
      </c>
      <c r="H512" s="18">
        <v>8648009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391593</v>
      </c>
      <c r="G513" s="24" t="s">
        <v>289</v>
      </c>
      <c r="H513" s="18">
        <v>431774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9920531</v>
      </c>
      <c r="G516" s="42">
        <f>SUM(G510:G515)</f>
        <v>0</v>
      </c>
      <c r="H516" s="42">
        <f>SUM(H510:H515)</f>
        <v>9844533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302519.52</v>
      </c>
      <c r="G520" s="18">
        <v>181819.76</v>
      </c>
      <c r="H520" s="18">
        <v>51537.29</v>
      </c>
      <c r="I520" s="18">
        <v>3159.88</v>
      </c>
      <c r="J520" s="18">
        <v>29.88</v>
      </c>
      <c r="K520" s="18">
        <v>110</v>
      </c>
      <c r="L520" s="88">
        <f>SUM(F520:K520)</f>
        <v>539176.33000000007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164032.60999999999</v>
      </c>
      <c r="G521" s="18">
        <v>68300.45</v>
      </c>
      <c r="H521" s="18">
        <v>2068.7600000000002</v>
      </c>
      <c r="I521" s="18">
        <v>543.66</v>
      </c>
      <c r="J521" s="18">
        <v>1946.39</v>
      </c>
      <c r="K521" s="18">
        <v>20</v>
      </c>
      <c r="L521" s="88">
        <f>SUM(F521:K521)</f>
        <v>236911.87000000002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7">
        <v>164527.12</v>
      </c>
      <c r="G522" s="277">
        <v>73935.100000000006</v>
      </c>
      <c r="H522" s="277">
        <v>39487.64</v>
      </c>
      <c r="I522" s="18">
        <v>4878.59</v>
      </c>
      <c r="J522" s="18">
        <v>0</v>
      </c>
      <c r="K522" s="18">
        <v>75</v>
      </c>
      <c r="L522" s="88">
        <f>SUM(F522:K522)</f>
        <v>282903.45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631079.25</v>
      </c>
      <c r="G523" s="108">
        <f t="shared" ref="G523:L523" si="36">SUM(G520:G522)</f>
        <v>324055.31000000006</v>
      </c>
      <c r="H523" s="108">
        <f t="shared" si="36"/>
        <v>93093.69</v>
      </c>
      <c r="I523" s="108">
        <f t="shared" si="36"/>
        <v>8582.130000000001</v>
      </c>
      <c r="J523" s="108">
        <f t="shared" si="36"/>
        <v>1976.2700000000002</v>
      </c>
      <c r="K523" s="108">
        <f t="shared" si="36"/>
        <v>205</v>
      </c>
      <c r="L523" s="89">
        <f t="shared" si="36"/>
        <v>1058991.6500000001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54686.93</v>
      </c>
      <c r="G525" s="18">
        <v>28347.3</v>
      </c>
      <c r="H525" s="18">
        <v>205866.51</v>
      </c>
      <c r="I525" s="18">
        <v>240.74</v>
      </c>
      <c r="J525" s="18">
        <v>392.81</v>
      </c>
      <c r="K525" s="18">
        <v>260</v>
      </c>
      <c r="L525" s="88">
        <f>SUM(F525:K525)</f>
        <v>289794.28999999998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5610.84</v>
      </c>
      <c r="G526" s="18">
        <v>2188.81</v>
      </c>
      <c r="H526" s="18">
        <v>23081.200000000001</v>
      </c>
      <c r="I526" s="18">
        <v>375</v>
      </c>
      <c r="J526" s="18"/>
      <c r="K526" s="18"/>
      <c r="L526" s="88">
        <f>SUM(F526:K526)</f>
        <v>31255.85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6767</v>
      </c>
      <c r="G527" s="18">
        <v>1975.9</v>
      </c>
      <c r="H527" s="18">
        <v>23863.11</v>
      </c>
      <c r="I527" s="18">
        <v>422.04</v>
      </c>
      <c r="J527" s="18"/>
      <c r="K527" s="18"/>
      <c r="L527" s="88">
        <f>SUM(F527:K527)</f>
        <v>33028.050000000003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67064.77</v>
      </c>
      <c r="G528" s="89">
        <f t="shared" ref="G528:L528" si="37">SUM(G525:G527)</f>
        <v>32512.010000000002</v>
      </c>
      <c r="H528" s="89">
        <f t="shared" si="37"/>
        <v>252810.82</v>
      </c>
      <c r="I528" s="89">
        <f t="shared" si="37"/>
        <v>1037.78</v>
      </c>
      <c r="J528" s="89">
        <f t="shared" si="37"/>
        <v>392.81</v>
      </c>
      <c r="K528" s="89">
        <f t="shared" si="37"/>
        <v>260</v>
      </c>
      <c r="L528" s="89">
        <f t="shared" si="37"/>
        <v>354078.18999999994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41749.620000000003</v>
      </c>
      <c r="I530" s="18"/>
      <c r="J530" s="18"/>
      <c r="K530" s="18"/>
      <c r="L530" s="88">
        <f>SUM(F530:K530)</f>
        <v>41749.620000000003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26136.35</v>
      </c>
      <c r="I531" s="18"/>
      <c r="J531" s="18"/>
      <c r="K531" s="18"/>
      <c r="L531" s="88">
        <f>SUM(F531:K531)</f>
        <v>26136.35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26009.42</v>
      </c>
      <c r="I532" s="18"/>
      <c r="J532" s="18"/>
      <c r="K532" s="18"/>
      <c r="L532" s="88">
        <f>SUM(F532:K532)</f>
        <v>26009.42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93895.39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93895.39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4980.0600000000004</v>
      </c>
      <c r="G540" s="18">
        <v>739.09</v>
      </c>
      <c r="H540" s="18">
        <v>12434.58</v>
      </c>
      <c r="I540" s="18">
        <v>2041.24</v>
      </c>
      <c r="J540" s="18"/>
      <c r="K540" s="18"/>
      <c r="L540" s="88">
        <f>SUM(F540:K540)</f>
        <v>20194.97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3.85</v>
      </c>
      <c r="G541" s="18">
        <v>14.56</v>
      </c>
      <c r="H541" s="18">
        <v>787.5</v>
      </c>
      <c r="I541" s="18"/>
      <c r="J541" s="18"/>
      <c r="K541" s="18"/>
      <c r="L541" s="88">
        <f>SUM(F541:K541)</f>
        <v>805.91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1508.79</v>
      </c>
      <c r="G542" s="18">
        <v>281.94</v>
      </c>
      <c r="H542" s="18">
        <v>229.09</v>
      </c>
      <c r="I542" s="18">
        <v>642.73</v>
      </c>
      <c r="J542" s="18"/>
      <c r="K542" s="18"/>
      <c r="L542" s="88">
        <f>SUM(F542:K542)</f>
        <v>2662.55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6492.7000000000007</v>
      </c>
      <c r="G543" s="193">
        <f t="shared" ref="G543:L543" si="40">SUM(G540:G542)</f>
        <v>1035.5899999999999</v>
      </c>
      <c r="H543" s="193">
        <f t="shared" si="40"/>
        <v>13451.17</v>
      </c>
      <c r="I543" s="193">
        <f t="shared" si="40"/>
        <v>2683.9700000000003</v>
      </c>
      <c r="J543" s="193">
        <f t="shared" si="40"/>
        <v>0</v>
      </c>
      <c r="K543" s="193">
        <f t="shared" si="40"/>
        <v>0</v>
      </c>
      <c r="L543" s="193">
        <f t="shared" si="40"/>
        <v>23663.43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704636.72</v>
      </c>
      <c r="G544" s="89">
        <f t="shared" ref="G544:L544" si="41">G523+G528+G533+G538+G543</f>
        <v>357602.91000000009</v>
      </c>
      <c r="H544" s="89">
        <f t="shared" si="41"/>
        <v>453251.07</v>
      </c>
      <c r="I544" s="89">
        <f t="shared" si="41"/>
        <v>12303.880000000001</v>
      </c>
      <c r="J544" s="89">
        <f t="shared" si="41"/>
        <v>2369.0800000000004</v>
      </c>
      <c r="K544" s="89">
        <f t="shared" si="41"/>
        <v>465</v>
      </c>
      <c r="L544" s="89">
        <f t="shared" si="41"/>
        <v>1530628.66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539176.33000000007</v>
      </c>
      <c r="G548" s="87">
        <f>L525</f>
        <v>289794.28999999998</v>
      </c>
      <c r="H548" s="87">
        <f>L530</f>
        <v>41749.620000000003</v>
      </c>
      <c r="I548" s="87">
        <f>L535</f>
        <v>0</v>
      </c>
      <c r="J548" s="87">
        <f>L540</f>
        <v>20194.97</v>
      </c>
      <c r="K548" s="87">
        <f>SUM(F548:J548)</f>
        <v>890915.21000000008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236911.87000000002</v>
      </c>
      <c r="G549" s="87">
        <f>L526</f>
        <v>31255.85</v>
      </c>
      <c r="H549" s="87">
        <f>L531</f>
        <v>26136.35</v>
      </c>
      <c r="I549" s="87">
        <f>L536</f>
        <v>0</v>
      </c>
      <c r="J549" s="87">
        <f>L541</f>
        <v>805.91</v>
      </c>
      <c r="K549" s="87">
        <f>SUM(F549:J549)</f>
        <v>295109.98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282903.45</v>
      </c>
      <c r="G550" s="87">
        <f>L527</f>
        <v>33028.050000000003</v>
      </c>
      <c r="H550" s="87">
        <f>L532</f>
        <v>26009.42</v>
      </c>
      <c r="I550" s="87">
        <f>L537</f>
        <v>0</v>
      </c>
      <c r="J550" s="87">
        <f>L542</f>
        <v>2662.55</v>
      </c>
      <c r="K550" s="87">
        <f>SUM(F550:J550)</f>
        <v>344603.47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1058991.6500000001</v>
      </c>
      <c r="G551" s="89">
        <f t="shared" si="42"/>
        <v>354078.18999999994</v>
      </c>
      <c r="H551" s="89">
        <f t="shared" si="42"/>
        <v>93895.39</v>
      </c>
      <c r="I551" s="89">
        <f t="shared" si="42"/>
        <v>0</v>
      </c>
      <c r="J551" s="89">
        <f t="shared" si="42"/>
        <v>23663.43</v>
      </c>
      <c r="K551" s="89">
        <f t="shared" si="42"/>
        <v>1530628.66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223.12</v>
      </c>
      <c r="I561" s="18"/>
      <c r="J561" s="18"/>
      <c r="K561" s="18"/>
      <c r="L561" s="88">
        <f>SUM(F561:K561)</f>
        <v>223.12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13892.15</v>
      </c>
      <c r="G562" s="18">
        <v>1362.74</v>
      </c>
      <c r="H562" s="18">
        <v>446.25</v>
      </c>
      <c r="I562" s="18">
        <v>79.47</v>
      </c>
      <c r="J562" s="18"/>
      <c r="K562" s="18"/>
      <c r="L562" s="88">
        <f>SUM(F562:K562)</f>
        <v>15780.609999999999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13892.24</v>
      </c>
      <c r="G563" s="18">
        <v>1480.86</v>
      </c>
      <c r="H563" s="18">
        <v>223.13</v>
      </c>
      <c r="I563" s="18">
        <v>99.79</v>
      </c>
      <c r="J563" s="18"/>
      <c r="K563" s="18"/>
      <c r="L563" s="88">
        <f>SUM(F563:K563)</f>
        <v>15696.02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27784.39</v>
      </c>
      <c r="G564" s="89">
        <f t="shared" si="44"/>
        <v>2843.6</v>
      </c>
      <c r="H564" s="89">
        <f t="shared" si="44"/>
        <v>892.5</v>
      </c>
      <c r="I564" s="89">
        <f t="shared" si="44"/>
        <v>179.26</v>
      </c>
      <c r="J564" s="89">
        <f t="shared" si="44"/>
        <v>0</v>
      </c>
      <c r="K564" s="89">
        <f t="shared" si="44"/>
        <v>0</v>
      </c>
      <c r="L564" s="89">
        <f t="shared" si="44"/>
        <v>31699.75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27784.39</v>
      </c>
      <c r="G570" s="89">
        <f t="shared" ref="G570:L570" si="46">G559+G564+G569</f>
        <v>2843.6</v>
      </c>
      <c r="H570" s="89">
        <f t="shared" si="46"/>
        <v>892.5</v>
      </c>
      <c r="I570" s="89">
        <f t="shared" si="46"/>
        <v>179.26</v>
      </c>
      <c r="J570" s="89">
        <f t="shared" si="46"/>
        <v>0</v>
      </c>
      <c r="K570" s="89">
        <f t="shared" si="46"/>
        <v>0</v>
      </c>
      <c r="L570" s="89">
        <f t="shared" si="46"/>
        <v>31699.75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1671.13</v>
      </c>
      <c r="I574" s="87">
        <f>SUM(F574:H574)</f>
        <v>1671.13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3009</v>
      </c>
      <c r="I577" s="87">
        <f t="shared" si="47"/>
        <v>3009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30575.28+4748.5+1633.56</f>
        <v>36957.339999999997</v>
      </c>
      <c r="G581" s="18">
        <v>1905.44</v>
      </c>
      <c r="H581" s="18">
        <v>12036.44</v>
      </c>
      <c r="I581" s="87">
        <f t="shared" si="47"/>
        <v>50899.22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45763.4</v>
      </c>
      <c r="I583" s="87">
        <f t="shared" si="47"/>
        <v>45763.4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70737.83</v>
      </c>
      <c r="I590" s="18">
        <v>40387.21</v>
      </c>
      <c r="J590" s="18">
        <v>60997.45</v>
      </c>
      <c r="K590" s="104">
        <f t="shared" ref="K590:K596" si="48">SUM(H590:J590)</f>
        <v>172122.49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20194.97</v>
      </c>
      <c r="I591" s="18">
        <v>805.91</v>
      </c>
      <c r="J591" s="18">
        <v>2662.55</v>
      </c>
      <c r="K591" s="104">
        <f t="shared" si="48"/>
        <v>23663.43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16303.96</v>
      </c>
      <c r="K592" s="104">
        <f t="shared" si="48"/>
        <v>16303.96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3534.87</v>
      </c>
      <c r="J593" s="18">
        <v>11956.65</v>
      </c>
      <c r="K593" s="104">
        <f t="shared" si="48"/>
        <v>15491.52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2353.21</v>
      </c>
      <c r="I594" s="18">
        <v>4617.71</v>
      </c>
      <c r="J594" s="18">
        <v>5744.62</v>
      </c>
      <c r="K594" s="104">
        <f t="shared" si="48"/>
        <v>12715.54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93286.010000000009</v>
      </c>
      <c r="I597" s="108">
        <f>SUM(I590:I596)</f>
        <v>49345.700000000004</v>
      </c>
      <c r="J597" s="108">
        <f>SUM(J590:J596)</f>
        <v>97665.229999999981</v>
      </c>
      <c r="K597" s="108">
        <f>SUM(K590:K596)</f>
        <v>240296.93999999997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49698.94</v>
      </c>
      <c r="I603" s="18">
        <v>27309.759999999998</v>
      </c>
      <c r="J603" s="18">
        <v>82770.89</v>
      </c>
      <c r="K603" s="104">
        <f>SUM(H603:J603)</f>
        <v>159779.59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49698.94</v>
      </c>
      <c r="I604" s="108">
        <f>SUM(I601:I603)</f>
        <v>27309.759999999998</v>
      </c>
      <c r="J604" s="108">
        <f>SUM(J601:J603)</f>
        <v>82770.89</v>
      </c>
      <c r="K604" s="108">
        <f>SUM(K601:K603)</f>
        <v>159779.59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13271.98</v>
      </c>
      <c r="G610" s="18">
        <v>1808.03</v>
      </c>
      <c r="H610" s="18">
        <f>1737.38+1633.56</f>
        <v>3370.94</v>
      </c>
      <c r="I610" s="18">
        <v>198.37</v>
      </c>
      <c r="J610" s="18">
        <v>0</v>
      </c>
      <c r="K610" s="18">
        <v>110</v>
      </c>
      <c r="L610" s="88">
        <f>SUM(F610:K610)</f>
        <v>18759.32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4146.32</v>
      </c>
      <c r="G611" s="18">
        <v>480.62</v>
      </c>
      <c r="H611" s="18">
        <f>1905.44</f>
        <v>1905.44</v>
      </c>
      <c r="I611" s="18">
        <v>0</v>
      </c>
      <c r="J611" s="18">
        <v>0</v>
      </c>
      <c r="K611" s="18">
        <v>20</v>
      </c>
      <c r="L611" s="88">
        <f>SUM(F611:K611)</f>
        <v>6552.3799999999992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4119.9399999999996</v>
      </c>
      <c r="G612" s="18">
        <v>723.58</v>
      </c>
      <c r="H612" s="18">
        <v>0</v>
      </c>
      <c r="I612" s="18">
        <v>0</v>
      </c>
      <c r="J612" s="18">
        <v>0</v>
      </c>
      <c r="K612" s="18">
        <v>75</v>
      </c>
      <c r="L612" s="88">
        <f>SUM(F612:K612)</f>
        <v>4918.5199999999995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21538.239999999998</v>
      </c>
      <c r="G613" s="108">
        <f t="shared" si="49"/>
        <v>3012.23</v>
      </c>
      <c r="H613" s="108">
        <f t="shared" si="49"/>
        <v>5276.38</v>
      </c>
      <c r="I613" s="108">
        <f t="shared" si="49"/>
        <v>198.37</v>
      </c>
      <c r="J613" s="108">
        <f t="shared" si="49"/>
        <v>0</v>
      </c>
      <c r="K613" s="108">
        <f t="shared" si="49"/>
        <v>205</v>
      </c>
      <c r="L613" s="89">
        <f t="shared" si="49"/>
        <v>30230.219999999998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408060.99</v>
      </c>
      <c r="H616" s="109">
        <f>SUM(F51)</f>
        <v>408060.99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24270.23</v>
      </c>
      <c r="H617" s="109">
        <f>SUM(G51)</f>
        <v>24270.23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40609.78</v>
      </c>
      <c r="H618" s="109">
        <f>SUM(H51)</f>
        <v>40609.78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797555.03</v>
      </c>
      <c r="H620" s="109">
        <f>SUM(J51)</f>
        <v>797555.03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391202.98</v>
      </c>
      <c r="H621" s="109">
        <f>F475</f>
        <v>391202.97999999952</v>
      </c>
      <c r="I621" s="121" t="s">
        <v>101</v>
      </c>
      <c r="J621" s="109">
        <f t="shared" ref="J621:J654" si="50">G621-H621</f>
        <v>4.6566128730773926E-10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8173.31</v>
      </c>
      <c r="H622" s="109">
        <f>G475</f>
        <v>8173.3099999999977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797555.03</v>
      </c>
      <c r="H625" s="109">
        <f>J475</f>
        <v>797555.03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7789822.9299999997</v>
      </c>
      <c r="H626" s="104">
        <f>SUM(F467)</f>
        <v>7789822.9299999997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216359.3</v>
      </c>
      <c r="H627" s="104">
        <f>SUM(G467)</f>
        <v>216359.3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280925.91000000003</v>
      </c>
      <c r="H628" s="104">
        <f>SUM(H467)</f>
        <v>280925.90999999997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71230.570000000007</v>
      </c>
      <c r="H630" s="104">
        <f>SUM(J467)</f>
        <v>71230.570000000007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7725234.7799999993</v>
      </c>
      <c r="H631" s="104">
        <f>SUM(F471)</f>
        <v>7725234.7800000003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280925.90999999997</v>
      </c>
      <c r="H632" s="104">
        <f>SUM(H471)</f>
        <v>280925.90999999997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16326.649999999998</v>
      </c>
      <c r="H633" s="104">
        <f>I368</f>
        <v>16326.649999999998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214914.64999999997</v>
      </c>
      <c r="H634" s="104">
        <f>SUM(G471)</f>
        <v>214914.65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71230.570000000007</v>
      </c>
      <c r="H636" s="164">
        <f>SUM(J467)</f>
        <v>71230.570000000007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1250</v>
      </c>
      <c r="H637" s="164">
        <f>SUM(J471)</f>
        <v>1250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528693.53</v>
      </c>
      <c r="H638" s="104">
        <f>SUM(F460)</f>
        <v>528693.53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268861.5</v>
      </c>
      <c r="H639" s="104">
        <f>SUM(G460)</f>
        <v>268861.5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797555.03</v>
      </c>
      <c r="H641" s="104">
        <f>SUM(I460)</f>
        <v>797555.03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569.57000000000005</v>
      </c>
      <c r="H643" s="104">
        <f>H407</f>
        <v>569.57000000000005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70661</v>
      </c>
      <c r="H644" s="104">
        <f>G407</f>
        <v>70661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71230.570000000007</v>
      </c>
      <c r="H645" s="104">
        <f>L407</f>
        <v>71230.570000000007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240296.93999999997</v>
      </c>
      <c r="H646" s="104">
        <f>L207+L225+L243</f>
        <v>240296.93999999994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159779.59</v>
      </c>
      <c r="H647" s="104">
        <f>(J256+J337)-(J254+J335)</f>
        <v>159779.59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93286.00999999998</v>
      </c>
      <c r="H648" s="104">
        <f>H597</f>
        <v>93286.010000000009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49345.7</v>
      </c>
      <c r="H649" s="104">
        <f>I597</f>
        <v>49345.700000000004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97665.23</v>
      </c>
      <c r="H650" s="104">
        <f>J597</f>
        <v>97665.229999999981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70661</v>
      </c>
      <c r="H654" s="104">
        <f>K265+K346</f>
        <v>70661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2974482.5500000003</v>
      </c>
      <c r="G659" s="19">
        <f>(L228+L308+L358)</f>
        <v>1571320.94</v>
      </c>
      <c r="H659" s="19">
        <f>(L246+L327+L359)</f>
        <v>2448619.6999999993</v>
      </c>
      <c r="I659" s="19">
        <f>SUM(F659:H659)</f>
        <v>6994423.1899999995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50489.371536877552</v>
      </c>
      <c r="G660" s="19">
        <f>(L358/IF(SUM(L357:L359)=0,1,SUM(L357:L359))*(SUM(G96:G109)))</f>
        <v>26206.885988647125</v>
      </c>
      <c r="H660" s="19">
        <f>(L359/IF(SUM(L357:L359)=0,1,SUM(L357:L359))*(SUM(G96:G109)))</f>
        <v>40129.822474475346</v>
      </c>
      <c r="I660" s="19">
        <f>SUM(F660:H660)</f>
        <v>116826.08000000002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93286.00999999998</v>
      </c>
      <c r="G661" s="19">
        <f>(L225+L305)-(J225+J305)</f>
        <v>49345.7</v>
      </c>
      <c r="H661" s="19">
        <f>(L243+L324)-(J243+J324)</f>
        <v>97665.23</v>
      </c>
      <c r="I661" s="19">
        <f>SUM(F661:H661)</f>
        <v>240296.93999999994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105415.6</v>
      </c>
      <c r="G662" s="199">
        <f>SUM(G574:G586)+SUM(I601:I603)+L611</f>
        <v>35767.579999999994</v>
      </c>
      <c r="H662" s="199">
        <f>SUM(H574:H586)+SUM(J601:J603)+L612</f>
        <v>150169.37999999998</v>
      </c>
      <c r="I662" s="19">
        <f>SUM(F662:H662)</f>
        <v>291352.55999999994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2725291.5684631229</v>
      </c>
      <c r="G663" s="19">
        <f>G659-SUM(G660:G662)</f>
        <v>1460000.7740113528</v>
      </c>
      <c r="H663" s="19">
        <f>H659-SUM(H660:H662)</f>
        <v>2160655.2675255239</v>
      </c>
      <c r="I663" s="19">
        <f>I659-SUM(I660:I662)</f>
        <v>6345947.6099999994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178.67</v>
      </c>
      <c r="G664" s="248">
        <v>92.74</v>
      </c>
      <c r="H664" s="248">
        <v>142.01</v>
      </c>
      <c r="I664" s="19">
        <f>SUM(F664:H664)</f>
        <v>413.41999999999996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15253.21</v>
      </c>
      <c r="G666" s="19">
        <f>ROUND(G663/G664,2)</f>
        <v>15742.95</v>
      </c>
      <c r="H666" s="19">
        <f>ROUND(H663/H664,2)</f>
        <v>15214.81</v>
      </c>
      <c r="I666" s="19">
        <f>ROUND(I663/I664,2)</f>
        <v>15349.88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-5.72</v>
      </c>
      <c r="I669" s="19">
        <f>SUM(F669:H669)</f>
        <v>-5.72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15253.21</v>
      </c>
      <c r="G671" s="19">
        <f>ROUND((G663+G668)/(G664+G669),2)</f>
        <v>15742.95</v>
      </c>
      <c r="H671" s="19">
        <f>ROUND((H663+H668)/(H664+H669),2)</f>
        <v>15853.37</v>
      </c>
      <c r="I671" s="19">
        <f>ROUND((I663+I668)/(I664+I669),2)</f>
        <v>15565.24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Gorham Randolph Shelburne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1692068.78</v>
      </c>
      <c r="C9" s="229">
        <f>'DOE25'!G196+'DOE25'!G214+'DOE25'!G232+'DOE25'!G275+'DOE25'!G294+'DOE25'!G313</f>
        <v>757005.4</v>
      </c>
    </row>
    <row r="10" spans="1:3" x14ac:dyDescent="0.2">
      <c r="A10" t="s">
        <v>779</v>
      </c>
      <c r="B10" s="240">
        <v>1590170.72</v>
      </c>
      <c r="C10" s="240">
        <v>735500.64</v>
      </c>
    </row>
    <row r="11" spans="1:3" x14ac:dyDescent="0.2">
      <c r="A11" t="s">
        <v>780</v>
      </c>
      <c r="B11" s="240">
        <v>26015.64</v>
      </c>
      <c r="C11" s="240">
        <v>15398.75</v>
      </c>
    </row>
    <row r="12" spans="1:3" x14ac:dyDescent="0.2">
      <c r="A12" t="s">
        <v>781</v>
      </c>
      <c r="B12" s="240">
        <f>15749.96+60132.46</f>
        <v>75882.42</v>
      </c>
      <c r="C12" s="240">
        <v>6106.01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1692068.7799999998</v>
      </c>
      <c r="C13" s="231">
        <f>SUM(C10:C12)</f>
        <v>757005.4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641425.66999999981</v>
      </c>
      <c r="C18" s="229">
        <f>'DOE25'!G197+'DOE25'!G215+'DOE25'!G233+'DOE25'!G276+'DOE25'!G295+'DOE25'!G314</f>
        <v>324643.32</v>
      </c>
    </row>
    <row r="19" spans="1:3" x14ac:dyDescent="0.2">
      <c r="A19" t="s">
        <v>779</v>
      </c>
      <c r="B19" s="240">
        <v>250884.99</v>
      </c>
      <c r="C19" s="240">
        <v>88189.34</v>
      </c>
    </row>
    <row r="20" spans="1:3" x14ac:dyDescent="0.2">
      <c r="A20" t="s">
        <v>780</v>
      </c>
      <c r="B20" s="240">
        <v>360881.72</v>
      </c>
      <c r="C20" s="240">
        <v>234230.98</v>
      </c>
    </row>
    <row r="21" spans="1:3" x14ac:dyDescent="0.2">
      <c r="A21" t="s">
        <v>781</v>
      </c>
      <c r="B21" s="240">
        <f>11380.96+3649.51+14628.49</f>
        <v>29658.959999999999</v>
      </c>
      <c r="C21" s="240">
        <v>2223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641425.66999999993</v>
      </c>
      <c r="C22" s="231">
        <f>SUM(C19:C21)</f>
        <v>324643.32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98363.61</v>
      </c>
      <c r="C36" s="235">
        <f>'DOE25'!G199+'DOE25'!G217+'DOE25'!G235+'DOE25'!G278+'DOE25'!G297+'DOE25'!G316</f>
        <v>13797.019999999999</v>
      </c>
    </row>
    <row r="37" spans="1:3" x14ac:dyDescent="0.2">
      <c r="A37" t="s">
        <v>779</v>
      </c>
      <c r="B37" s="240">
        <v>87481.98</v>
      </c>
      <c r="C37" s="240">
        <v>12477.91</v>
      </c>
    </row>
    <row r="38" spans="1:3" x14ac:dyDescent="0.2">
      <c r="A38" t="s">
        <v>780</v>
      </c>
      <c r="B38" s="240">
        <v>9562.6299999999992</v>
      </c>
      <c r="C38" s="240">
        <v>1159.22</v>
      </c>
    </row>
    <row r="39" spans="1:3" x14ac:dyDescent="0.2">
      <c r="A39" t="s">
        <v>781</v>
      </c>
      <c r="B39" s="240">
        <v>1319</v>
      </c>
      <c r="C39" s="240">
        <v>159.88999999999999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98363.61</v>
      </c>
      <c r="C40" s="231">
        <f>SUM(C37:C39)</f>
        <v>13797.019999999999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Gorham Randolph Shelburne Cooperative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3722372.29</v>
      </c>
      <c r="D5" s="20">
        <f>SUM('DOE25'!L196:L199)+SUM('DOE25'!L214:L217)+SUM('DOE25'!L232:L235)-F5-G5</f>
        <v>3688401.18</v>
      </c>
      <c r="E5" s="243"/>
      <c r="F5" s="255">
        <f>SUM('DOE25'!J196:J199)+SUM('DOE25'!J214:J217)+SUM('DOE25'!J232:J235)</f>
        <v>13188.61</v>
      </c>
      <c r="G5" s="53">
        <f>SUM('DOE25'!K196:K199)+SUM('DOE25'!K214:K217)+SUM('DOE25'!K232:K235)</f>
        <v>20782.5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708808.75</v>
      </c>
      <c r="D6" s="20">
        <f>'DOE25'!L201+'DOE25'!L219+'DOE25'!L237-F6-G6</f>
        <v>706061.55</v>
      </c>
      <c r="E6" s="243"/>
      <c r="F6" s="255">
        <f>'DOE25'!J201+'DOE25'!J219+'DOE25'!J237</f>
        <v>1548.1999999999998</v>
      </c>
      <c r="G6" s="53">
        <f>'DOE25'!K201+'DOE25'!K219+'DOE25'!K237</f>
        <v>1199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232746.22000000003</v>
      </c>
      <c r="D7" s="20">
        <f>'DOE25'!L202+'DOE25'!L220+'DOE25'!L238-F7-G7</f>
        <v>192740.27000000002</v>
      </c>
      <c r="E7" s="243"/>
      <c r="F7" s="255">
        <f>'DOE25'!J202+'DOE25'!J220+'DOE25'!J238</f>
        <v>37674.449999999997</v>
      </c>
      <c r="G7" s="53">
        <f>'DOE25'!K202+'DOE25'!K220+'DOE25'!K238</f>
        <v>2331.5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358843.35000000003</v>
      </c>
      <c r="D8" s="243"/>
      <c r="E8" s="20">
        <f>'DOE25'!L203+'DOE25'!L221+'DOE25'!L239-F8-G8-D9-D11</f>
        <v>354877.77</v>
      </c>
      <c r="F8" s="255">
        <f>'DOE25'!J203+'DOE25'!J221+'DOE25'!J239</f>
        <v>0</v>
      </c>
      <c r="G8" s="53">
        <f>'DOE25'!K203+'DOE25'!K221+'DOE25'!K239</f>
        <v>3965.58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46109.91</v>
      </c>
      <c r="D9" s="244">
        <v>46109.91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6905.87</v>
      </c>
      <c r="D10" s="243"/>
      <c r="E10" s="244">
        <f>5200+1705.87</f>
        <v>6905.87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93418.65</v>
      </c>
      <c r="D11" s="244">
        <v>93418.65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481015</v>
      </c>
      <c r="D12" s="20">
        <f>'DOE25'!L204+'DOE25'!L222+'DOE25'!L240-F12-G12</f>
        <v>469863.95</v>
      </c>
      <c r="E12" s="243"/>
      <c r="F12" s="255">
        <f>'DOE25'!J204+'DOE25'!J222+'DOE25'!J240</f>
        <v>2397.8000000000002</v>
      </c>
      <c r="G12" s="53">
        <f>'DOE25'!K204+'DOE25'!K222+'DOE25'!K240</f>
        <v>8753.25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630767.87</v>
      </c>
      <c r="D14" s="20">
        <f>'DOE25'!L206+'DOE25'!L224+'DOE25'!L242-F14-G14</f>
        <v>586484.97</v>
      </c>
      <c r="E14" s="243"/>
      <c r="F14" s="255">
        <f>'DOE25'!J206+'DOE25'!J224+'DOE25'!J242</f>
        <v>44282.899999999994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240296.93999999994</v>
      </c>
      <c r="D15" s="20">
        <f>'DOE25'!L207+'DOE25'!L225+'DOE25'!L243-F15-G15</f>
        <v>239869.13999999996</v>
      </c>
      <c r="E15" s="243"/>
      <c r="F15" s="255">
        <f>'DOE25'!J207+'DOE25'!J225+'DOE25'!J243</f>
        <v>0</v>
      </c>
      <c r="G15" s="53">
        <f>'DOE25'!K207+'DOE25'!K225+'DOE25'!K243</f>
        <v>427.8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1350</v>
      </c>
      <c r="D22" s="243"/>
      <c r="E22" s="243"/>
      <c r="F22" s="255">
        <f>'DOE25'!L254+'DOE25'!L335</f>
        <v>1350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1127726.7999999998</v>
      </c>
      <c r="D25" s="243"/>
      <c r="E25" s="243"/>
      <c r="F25" s="258"/>
      <c r="G25" s="256"/>
      <c r="H25" s="257">
        <f>'DOE25'!L259+'DOE25'!L260+'DOE25'!L340+'DOE25'!L341</f>
        <v>1127726.7999999998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198587.99999999997</v>
      </c>
      <c r="D29" s="20">
        <f>'DOE25'!L357+'DOE25'!L358+'DOE25'!L359-'DOE25'!I366-F29-G29</f>
        <v>198587.99999999997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265129.56</v>
      </c>
      <c r="D31" s="20">
        <f>'DOE25'!L289+'DOE25'!L308+'DOE25'!L327+'DOE25'!L332+'DOE25'!L333+'DOE25'!L334-F31-G31</f>
        <v>190156.93</v>
      </c>
      <c r="E31" s="243"/>
      <c r="F31" s="255">
        <f>'DOE25'!J289+'DOE25'!J308+'DOE25'!J327+'DOE25'!J332+'DOE25'!J333+'DOE25'!J334</f>
        <v>60687.630000000005</v>
      </c>
      <c r="G31" s="53">
        <f>'DOE25'!K289+'DOE25'!K308+'DOE25'!K327+'DOE25'!K332+'DOE25'!K333+'DOE25'!K334</f>
        <v>14285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6411694.5499999998</v>
      </c>
      <c r="E33" s="246">
        <f>SUM(E5:E31)</f>
        <v>361783.64</v>
      </c>
      <c r="F33" s="246">
        <f>SUM(F5:F31)</f>
        <v>161129.59</v>
      </c>
      <c r="G33" s="246">
        <f>SUM(G5:G31)</f>
        <v>51744.630000000005</v>
      </c>
      <c r="H33" s="246">
        <f>SUM(H5:H31)</f>
        <v>1127726.7999999998</v>
      </c>
    </row>
    <row r="35" spans="2:8" ht="12" thickBot="1" x14ac:dyDescent="0.25">
      <c r="B35" s="253" t="s">
        <v>847</v>
      </c>
      <c r="D35" s="254">
        <f>E33</f>
        <v>361783.64</v>
      </c>
      <c r="E35" s="249"/>
    </row>
    <row r="36" spans="2:8" ht="12" thickTop="1" x14ac:dyDescent="0.2">
      <c r="B36" t="s">
        <v>815</v>
      </c>
      <c r="D36" s="20">
        <f>D33</f>
        <v>6411694.5499999998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Gorham Randolph Shelburne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338280.48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1306.79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44872.67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23223.27</v>
      </c>
      <c r="D12" s="95">
        <f>'DOE25'!G13</f>
        <v>12475.98</v>
      </c>
      <c r="E12" s="95">
        <f>'DOE25'!H13</f>
        <v>40569.18</v>
      </c>
      <c r="F12" s="95">
        <f>'DOE25'!I13</f>
        <v>0</v>
      </c>
      <c r="G12" s="95">
        <f>'DOE25'!J13</f>
        <v>797555.03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377.78</v>
      </c>
      <c r="D13" s="95">
        <f>'DOE25'!G14</f>
        <v>11794.25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40.6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408060.99</v>
      </c>
      <c r="D18" s="41">
        <f>SUM(D8:D17)</f>
        <v>24270.23</v>
      </c>
      <c r="E18" s="41">
        <f>SUM(E8:E17)</f>
        <v>40609.78</v>
      </c>
      <c r="F18" s="41">
        <f>SUM(F8:F17)</f>
        <v>0</v>
      </c>
      <c r="G18" s="41">
        <f>SUM(G8:G17)</f>
        <v>797555.03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16096.92</v>
      </c>
      <c r="E21" s="95">
        <f>'DOE25'!H22</f>
        <v>28775.75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500</v>
      </c>
      <c r="D22" s="95">
        <f>'DOE25'!G23</f>
        <v>0</v>
      </c>
      <c r="E22" s="95">
        <f>'DOE25'!H23</f>
        <v>2611.67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14472.83</v>
      </c>
      <c r="D23" s="95">
        <f>'DOE25'!G24</f>
        <v>0</v>
      </c>
      <c r="E23" s="95">
        <f>'DOE25'!H24</f>
        <v>455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1092.98</v>
      </c>
      <c r="D27" s="95">
        <f>'DOE25'!G28</f>
        <v>0</v>
      </c>
      <c r="E27" s="95">
        <f>'DOE25'!H28</f>
        <v>2391.54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-743.80000000000007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1536</v>
      </c>
      <c r="D29" s="95">
        <f>'DOE25'!G30</f>
        <v>0</v>
      </c>
      <c r="E29" s="95">
        <f>'DOE25'!H30</f>
        <v>6375.82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16858.010000000002</v>
      </c>
      <c r="D31" s="41">
        <f>SUM(D21:D30)</f>
        <v>16096.92</v>
      </c>
      <c r="E31" s="41">
        <f>SUM(E21:E30)</f>
        <v>40609.78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28930.78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103.21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8173.31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768521.04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346202.98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391202.98</v>
      </c>
      <c r="D49" s="41">
        <f>SUM(D34:D48)</f>
        <v>8173.31</v>
      </c>
      <c r="E49" s="41">
        <f>SUM(E34:E48)</f>
        <v>0</v>
      </c>
      <c r="F49" s="41">
        <f>SUM(F34:F48)</f>
        <v>0</v>
      </c>
      <c r="G49" s="41">
        <f>SUM(G34:G48)</f>
        <v>797555.03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408060.99</v>
      </c>
      <c r="D50" s="41">
        <f>D49+D31</f>
        <v>24270.23</v>
      </c>
      <c r="E50" s="41">
        <f>E49+E31</f>
        <v>40609.78</v>
      </c>
      <c r="F50" s="41">
        <f>F49+F31</f>
        <v>0</v>
      </c>
      <c r="G50" s="41">
        <f>G49+G31</f>
        <v>797555.03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4053466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43636.11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383.1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569.57000000000005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116826.08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38006.879999999997</v>
      </c>
      <c r="D60" s="95">
        <f>SUM('DOE25'!G97:G109)</f>
        <v>0</v>
      </c>
      <c r="E60" s="95">
        <f>SUM('DOE25'!H97:H109)</f>
        <v>23210.1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82026.09</v>
      </c>
      <c r="D61" s="130">
        <f>SUM(D56:D60)</f>
        <v>116826.08</v>
      </c>
      <c r="E61" s="130">
        <f>SUM(E56:E60)</f>
        <v>23210.1</v>
      </c>
      <c r="F61" s="130">
        <f>SUM(F56:F60)</f>
        <v>0</v>
      </c>
      <c r="G61" s="130">
        <f>SUM(G56:G60)</f>
        <v>569.57000000000005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4135492.09</v>
      </c>
      <c r="D62" s="22">
        <f>D55+D61</f>
        <v>116826.08</v>
      </c>
      <c r="E62" s="22">
        <f>E55+E61</f>
        <v>23210.1</v>
      </c>
      <c r="F62" s="22">
        <f>F55+F61</f>
        <v>0</v>
      </c>
      <c r="G62" s="22">
        <f>G55+G61</f>
        <v>569.57000000000005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2119910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824433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2944343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622890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3345.94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18913.57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626235.93999999994</v>
      </c>
      <c r="D77" s="130">
        <f>SUM(D71:D76)</f>
        <v>18913.57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3570578.94</v>
      </c>
      <c r="D80" s="130">
        <f>SUM(D78:D79)+D77+D69</f>
        <v>18913.57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50978.9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51545.760000000002</v>
      </c>
      <c r="D87" s="95">
        <f>SUM('DOE25'!G152:G160)</f>
        <v>80619.649999999994</v>
      </c>
      <c r="E87" s="95">
        <f>SUM('DOE25'!H152:H160)</f>
        <v>206736.91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31949.599999999999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83495.360000000001</v>
      </c>
      <c r="D90" s="131">
        <f>SUM(D84:D89)</f>
        <v>80619.649999999994</v>
      </c>
      <c r="E90" s="131">
        <f>SUM(E84:E89)</f>
        <v>257715.81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70661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256.54000000000002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256.54000000000002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70661</v>
      </c>
    </row>
    <row r="103" spans="1:7" ht="12.75" thickTop="1" thickBot="1" x14ac:dyDescent="0.25">
      <c r="A103" s="33" t="s">
        <v>765</v>
      </c>
      <c r="C103" s="86">
        <f>C62+C80+C90+C102</f>
        <v>7789822.9299999997</v>
      </c>
      <c r="D103" s="86">
        <f>D62+D80+D90+D102</f>
        <v>216359.3</v>
      </c>
      <c r="E103" s="86">
        <f>E62+E80+E90+E102</f>
        <v>280925.90999999997</v>
      </c>
      <c r="F103" s="86">
        <f>F62+F80+F90+F102</f>
        <v>0</v>
      </c>
      <c r="G103" s="86">
        <f>G62+G80+G102</f>
        <v>71230.570000000007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2559739.04</v>
      </c>
      <c r="D108" s="24" t="s">
        <v>289</v>
      </c>
      <c r="E108" s="95">
        <f>('DOE25'!L275)+('DOE25'!L294)+('DOE25'!L313)</f>
        <v>97875.63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970462.66999999993</v>
      </c>
      <c r="D109" s="24" t="s">
        <v>289</v>
      </c>
      <c r="E109" s="95">
        <f>('DOE25'!L276)+('DOE25'!L295)+('DOE25'!L314)</f>
        <v>94855.42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45763.4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146407.18</v>
      </c>
      <c r="D111" s="24" t="s">
        <v>289</v>
      </c>
      <c r="E111" s="95">
        <f>+('DOE25'!L278)+('DOE25'!L297)+('DOE25'!L316)</f>
        <v>14070.55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3722372.29</v>
      </c>
      <c r="D114" s="86">
        <f>SUM(D108:D113)</f>
        <v>0</v>
      </c>
      <c r="E114" s="86">
        <f>SUM(E108:E113)</f>
        <v>206801.59999999998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708808.75</v>
      </c>
      <c r="D117" s="24" t="s">
        <v>289</v>
      </c>
      <c r="E117" s="95">
        <f>+('DOE25'!L280)+('DOE25'!L299)+('DOE25'!L318)</f>
        <v>7528.67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232746.22</v>
      </c>
      <c r="D118" s="24" t="s">
        <v>289</v>
      </c>
      <c r="E118" s="95">
        <f>+('DOE25'!L281)+('DOE25'!L300)+('DOE25'!L319)</f>
        <v>47218.25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498371.91000000003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481015</v>
      </c>
      <c r="D120" s="24" t="s">
        <v>289</v>
      </c>
      <c r="E120" s="95">
        <f>+('DOE25'!L283)+('DOE25'!L302)+('DOE25'!L321)</f>
        <v>3500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630767.87</v>
      </c>
      <c r="D122" s="24" t="s">
        <v>289</v>
      </c>
      <c r="E122" s="95">
        <f>+('DOE25'!L285)+('DOE25'!L304)+('DOE25'!L323)</f>
        <v>81.040000000000006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240296.93999999994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214914.64999999997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2792006.69</v>
      </c>
      <c r="D127" s="86">
        <f>SUM(D117:D126)</f>
        <v>214914.64999999997</v>
      </c>
      <c r="E127" s="86">
        <f>SUM(E117:E126)</f>
        <v>58327.96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1350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1080527.1299999999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47199.67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1250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51037.97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20192.599999999999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-569.57000000000698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11118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15796.35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1210855.7999999998</v>
      </c>
      <c r="D143" s="141">
        <f>SUM(D129:D142)</f>
        <v>0</v>
      </c>
      <c r="E143" s="141">
        <f>SUM(E129:E142)</f>
        <v>15796.35</v>
      </c>
      <c r="F143" s="141">
        <f>SUM(F129:F142)</f>
        <v>0</v>
      </c>
      <c r="G143" s="141">
        <f>SUM(G129:G142)</f>
        <v>1250</v>
      </c>
    </row>
    <row r="144" spans="1:7" ht="12.75" thickTop="1" thickBot="1" x14ac:dyDescent="0.25">
      <c r="A144" s="33" t="s">
        <v>244</v>
      </c>
      <c r="C144" s="86">
        <f>(C114+C127+C143)</f>
        <v>7725234.7800000003</v>
      </c>
      <c r="D144" s="86">
        <f>(D114+D127+D143)</f>
        <v>214914.64999999997</v>
      </c>
      <c r="E144" s="86">
        <f>(E114+E127+E143)</f>
        <v>280925.90999999997</v>
      </c>
      <c r="F144" s="86">
        <f>(F114+F127+F143)</f>
        <v>0</v>
      </c>
      <c r="G144" s="86">
        <f>(G114+G127+G143)</f>
        <v>1250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5/29/08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7/15/2013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3.14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2064875.3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2064875.3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1080527.1299999999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1080527.1299999999</v>
      </c>
    </row>
    <row r="158" spans="1:9" x14ac:dyDescent="0.2">
      <c r="A158" s="22" t="s">
        <v>35</v>
      </c>
      <c r="B158" s="137">
        <f>'DOE25'!F497</f>
        <v>987875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987875</v>
      </c>
    </row>
    <row r="159" spans="1:9" x14ac:dyDescent="0.2">
      <c r="A159" s="22" t="s">
        <v>36</v>
      </c>
      <c r="B159" s="137">
        <f>'DOE25'!F498</f>
        <v>15510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15510</v>
      </c>
    </row>
    <row r="160" spans="1:9" x14ac:dyDescent="0.2">
      <c r="A160" s="22" t="s">
        <v>37</v>
      </c>
      <c r="B160" s="137">
        <f>'DOE25'!F499</f>
        <v>1003385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1003385</v>
      </c>
    </row>
    <row r="161" spans="1:7" x14ac:dyDescent="0.2">
      <c r="A161" s="22" t="s">
        <v>38</v>
      </c>
      <c r="B161" s="137">
        <f>'DOE25'!F500</f>
        <v>987875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987875</v>
      </c>
    </row>
    <row r="162" spans="1:7" x14ac:dyDescent="0.2">
      <c r="A162" s="22" t="s">
        <v>39</v>
      </c>
      <c r="B162" s="137">
        <f>'DOE25'!F501</f>
        <v>15510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15510</v>
      </c>
    </row>
    <row r="163" spans="1:7" x14ac:dyDescent="0.2">
      <c r="A163" s="22" t="s">
        <v>246</v>
      </c>
      <c r="B163" s="137">
        <f>'DOE25'!F502</f>
        <v>1003385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1003385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Gorham Randolph Shelburne Cooperative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15253</v>
      </c>
    </row>
    <row r="5" spans="1:4" x14ac:dyDescent="0.2">
      <c r="B5" t="s">
        <v>704</v>
      </c>
      <c r="C5" s="179">
        <f>IF('DOE25'!G664+'DOE25'!G669=0,0,ROUND('DOE25'!G671,0))</f>
        <v>15743</v>
      </c>
    </row>
    <row r="6" spans="1:4" x14ac:dyDescent="0.2">
      <c r="B6" t="s">
        <v>62</v>
      </c>
      <c r="C6" s="179">
        <f>IF('DOE25'!H664+'DOE25'!H669=0,0,ROUND('DOE25'!H671,0))</f>
        <v>15853</v>
      </c>
    </row>
    <row r="7" spans="1:4" x14ac:dyDescent="0.2">
      <c r="B7" t="s">
        <v>705</v>
      </c>
      <c r="C7" s="179">
        <f>IF('DOE25'!I664+'DOE25'!I669=0,0,ROUND('DOE25'!I671,0))</f>
        <v>15565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2657615</v>
      </c>
      <c r="D10" s="182">
        <f>ROUND((C10/$C$28)*100,1)</f>
        <v>38.200000000000003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1065318</v>
      </c>
      <c r="D11" s="182">
        <f>ROUND((C11/$C$28)*100,1)</f>
        <v>15.3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45763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160478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716337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279964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498372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484515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630849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240297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47200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26914.35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98088.92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6951711.2699999996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1350</v>
      </c>
    </row>
    <row r="30" spans="1:4" x14ac:dyDescent="0.2">
      <c r="B30" s="187" t="s">
        <v>729</v>
      </c>
      <c r="C30" s="180">
        <f>SUM(C28:C29)</f>
        <v>6953061.2699999996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1080527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4053466</v>
      </c>
      <c r="D35" s="182">
        <f t="shared" ref="D35:D40" si="1">ROUND((C35/$C$41)*100,1)</f>
        <v>49.6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105805.75999999978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2944343</v>
      </c>
      <c r="D37" s="182">
        <f t="shared" si="1"/>
        <v>36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645150</v>
      </c>
      <c r="D38" s="182">
        <f t="shared" si="1"/>
        <v>7.9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421831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257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8170852.7599999998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8" t="s">
        <v>770</v>
      </c>
      <c r="B1" s="299"/>
      <c r="C1" s="299"/>
      <c r="D1" s="299"/>
      <c r="E1" s="299"/>
      <c r="F1" s="299"/>
      <c r="G1" s="299"/>
      <c r="H1" s="299"/>
      <c r="I1" s="299"/>
      <c r="J1" s="213"/>
      <c r="K1" s="213"/>
      <c r="L1" s="213"/>
      <c r="M1" s="214"/>
    </row>
    <row r="2" spans="1:26" ht="12.75" x14ac:dyDescent="0.2">
      <c r="A2" s="304" t="s">
        <v>767</v>
      </c>
      <c r="B2" s="305"/>
      <c r="C2" s="305"/>
      <c r="D2" s="305"/>
      <c r="E2" s="305"/>
      <c r="F2" s="302" t="str">
        <f>'DOE25'!A2</f>
        <v>Gorham Randolph Shelburne Cooperative</v>
      </c>
      <c r="G2" s="303"/>
      <c r="H2" s="303"/>
      <c r="I2" s="30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0" t="s">
        <v>771</v>
      </c>
      <c r="D3" s="300"/>
      <c r="E3" s="300"/>
      <c r="F3" s="300"/>
      <c r="G3" s="300"/>
      <c r="H3" s="300"/>
      <c r="I3" s="300"/>
      <c r="J3" s="300"/>
      <c r="K3" s="300"/>
      <c r="L3" s="300"/>
      <c r="M3" s="301"/>
    </row>
    <row r="4" spans="1:26" x14ac:dyDescent="0.2">
      <c r="A4" s="218"/>
      <c r="B4" s="21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3" t="s">
        <v>848</v>
      </c>
      <c r="B72" s="293"/>
      <c r="C72" s="293"/>
      <c r="D72" s="293"/>
      <c r="E72" s="29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</row>
    <row r="74" spans="1:13" x14ac:dyDescent="0.2">
      <c r="A74" s="211"/>
      <c r="B74" s="211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</row>
    <row r="75" spans="1:13" x14ac:dyDescent="0.2">
      <c r="A75" s="211"/>
      <c r="B75" s="211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</row>
    <row r="76" spans="1:13" x14ac:dyDescent="0.2">
      <c r="A76" s="211"/>
      <c r="B76" s="211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</row>
    <row r="77" spans="1:13" x14ac:dyDescent="0.2">
      <c r="A77" s="211"/>
      <c r="B77" s="211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</row>
    <row r="78" spans="1:13" x14ac:dyDescent="0.2">
      <c r="A78" s="211"/>
      <c r="B78" s="211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</row>
    <row r="79" spans="1:13" x14ac:dyDescent="0.2">
      <c r="A79" s="211"/>
      <c r="B79" s="211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</row>
    <row r="80" spans="1:13" x14ac:dyDescent="0.2">
      <c r="A80" s="211"/>
      <c r="B80" s="211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</row>
    <row r="81" spans="1:13" x14ac:dyDescent="0.2">
      <c r="A81" s="211"/>
      <c r="B81" s="211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</row>
    <row r="82" spans="1:13" x14ac:dyDescent="0.2">
      <c r="A82" s="211"/>
      <c r="B82" s="211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</row>
    <row r="83" spans="1:13" x14ac:dyDescent="0.2">
      <c r="A83" s="211"/>
      <c r="B83" s="211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</row>
    <row r="84" spans="1:13" x14ac:dyDescent="0.2">
      <c r="A84" s="211"/>
      <c r="B84" s="211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</row>
    <row r="85" spans="1:13" x14ac:dyDescent="0.2">
      <c r="A85" s="211"/>
      <c r="B85" s="211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</row>
    <row r="86" spans="1:13" x14ac:dyDescent="0.2">
      <c r="A86" s="211"/>
      <c r="B86" s="211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</row>
    <row r="87" spans="1:13" x14ac:dyDescent="0.2">
      <c r="A87" s="211"/>
      <c r="B87" s="211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</row>
    <row r="88" spans="1:13" x14ac:dyDescent="0.2">
      <c r="A88" s="211"/>
      <c r="B88" s="211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</row>
    <row r="89" spans="1:13" x14ac:dyDescent="0.2">
      <c r="A89" s="211"/>
      <c r="B89" s="211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</row>
    <row r="90" spans="1:13" x14ac:dyDescent="0.2">
      <c r="A90" s="211"/>
      <c r="B90" s="211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2013-09-16T14:07:25Z</cp:lastPrinted>
  <dcterms:created xsi:type="dcterms:W3CDTF">1997-12-04T19:04:30Z</dcterms:created>
  <dcterms:modified xsi:type="dcterms:W3CDTF">2013-12-05T18:42:53Z</dcterms:modified>
</cp:coreProperties>
</file>