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C37" i="10" l="1"/>
  <c r="F40" i="2" l="1"/>
  <c r="D39" i="2"/>
  <c r="G654" i="1"/>
  <c r="F47" i="2"/>
  <c r="E47" i="2"/>
  <c r="D47" i="2"/>
  <c r="C47" i="2"/>
  <c r="F46" i="2"/>
  <c r="F49" i="2" s="1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7" i="10" s="1"/>
  <c r="D39" i="13"/>
  <c r="F13" i="13"/>
  <c r="G13" i="13"/>
  <c r="L205" i="1"/>
  <c r="L223" i="1"/>
  <c r="C121" i="2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308" i="1" s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E110" i="2" s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L249" i="1"/>
  <c r="L331" i="1"/>
  <c r="C23" i="10" s="1"/>
  <c r="L253" i="1"/>
  <c r="C25" i="10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J551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D18" i="2" s="1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C80" i="2" s="1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1" i="2"/>
  <c r="C112" i="2"/>
  <c r="E112" i="2"/>
  <c r="D114" i="2"/>
  <c r="F114" i="2"/>
  <c r="G114" i="2"/>
  <c r="E117" i="2"/>
  <c r="E119" i="2"/>
  <c r="E120" i="2"/>
  <c r="E121" i="2"/>
  <c r="E122" i="2"/>
  <c r="E123" i="2"/>
  <c r="C124" i="2"/>
  <c r="E124" i="2"/>
  <c r="F127" i="2"/>
  <c r="G127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G619" i="1" s="1"/>
  <c r="F32" i="1"/>
  <c r="G32" i="1"/>
  <c r="H32" i="1"/>
  <c r="I32" i="1"/>
  <c r="F50" i="1"/>
  <c r="F51" i="1" s="1"/>
  <c r="H616" i="1" s="1"/>
  <c r="G50" i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H475" i="1" s="1"/>
  <c r="H623" i="1" s="1"/>
  <c r="J623" i="1" s="1"/>
  <c r="I469" i="1"/>
  <c r="J469" i="1"/>
  <c r="J475" i="1" s="1"/>
  <c r="H625" i="1" s="1"/>
  <c r="F473" i="1"/>
  <c r="F475" i="1" s="1"/>
  <c r="H621" i="1" s="1"/>
  <c r="G473" i="1"/>
  <c r="G475" i="1" s="1"/>
  <c r="H622" i="1" s="1"/>
  <c r="H473" i="1"/>
  <c r="I473" i="1"/>
  <c r="I475" i="1" s="1"/>
  <c r="H624" i="1" s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J544" i="1" s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22" i="1"/>
  <c r="G623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3" i="1"/>
  <c r="G644" i="1"/>
  <c r="H644" i="1"/>
  <c r="G650" i="1"/>
  <c r="G651" i="1"/>
  <c r="H651" i="1"/>
  <c r="G652" i="1"/>
  <c r="H652" i="1"/>
  <c r="G653" i="1"/>
  <c r="H653" i="1"/>
  <c r="H654" i="1"/>
  <c r="F191" i="1"/>
  <c r="G159" i="2"/>
  <c r="F31" i="2"/>
  <c r="C26" i="10"/>
  <c r="L350" i="1"/>
  <c r="C69" i="2"/>
  <c r="G161" i="2"/>
  <c r="E49" i="2"/>
  <c r="D18" i="13"/>
  <c r="C18" i="13" s="1"/>
  <c r="F102" i="2"/>
  <c r="E18" i="2"/>
  <c r="C90" i="2"/>
  <c r="G80" i="2"/>
  <c r="F77" i="2"/>
  <c r="F80" i="2" s="1"/>
  <c r="F61" i="2"/>
  <c r="F62" i="2" s="1"/>
  <c r="D49" i="2"/>
  <c r="G156" i="2"/>
  <c r="F18" i="2"/>
  <c r="G162" i="2"/>
  <c r="E143" i="2"/>
  <c r="G102" i="2"/>
  <c r="E102" i="2"/>
  <c r="C102" i="2"/>
  <c r="D90" i="2"/>
  <c r="F90" i="2"/>
  <c r="E61" i="2"/>
  <c r="E62" i="2" s="1"/>
  <c r="C61" i="2"/>
  <c r="C62" i="2" s="1"/>
  <c r="G61" i="2"/>
  <c r="E77" i="2"/>
  <c r="E80" i="2" s="1"/>
  <c r="L426" i="1"/>
  <c r="H111" i="1"/>
  <c r="J640" i="1"/>
  <c r="J638" i="1"/>
  <c r="K604" i="1"/>
  <c r="G647" i="1" s="1"/>
  <c r="K570" i="1"/>
  <c r="L432" i="1"/>
  <c r="L418" i="1"/>
  <c r="D80" i="2"/>
  <c r="I168" i="1"/>
  <c r="J642" i="1"/>
  <c r="F168" i="1"/>
  <c r="J139" i="1"/>
  <c r="F570" i="1"/>
  <c r="G22" i="2"/>
  <c r="H139" i="1"/>
  <c r="L400" i="1"/>
  <c r="C138" i="2" s="1"/>
  <c r="L392" i="1"/>
  <c r="F22" i="13"/>
  <c r="C22" i="13" s="1"/>
  <c r="H25" i="13"/>
  <c r="C25" i="13" s="1"/>
  <c r="G191" i="1"/>
  <c r="H191" i="1"/>
  <c r="E16" i="13"/>
  <c r="J654" i="1"/>
  <c r="J644" i="1"/>
  <c r="L569" i="1"/>
  <c r="G36" i="2"/>
  <c r="L564" i="1"/>
  <c r="C137" i="2"/>
  <c r="C16" i="13"/>
  <c r="I570" i="1" l="1"/>
  <c r="J570" i="1"/>
  <c r="H570" i="1"/>
  <c r="A31" i="12"/>
  <c r="A13" i="12"/>
  <c r="L613" i="1"/>
  <c r="K597" i="1"/>
  <c r="G646" i="1" s="1"/>
  <c r="J650" i="1"/>
  <c r="K544" i="1"/>
  <c r="I544" i="1"/>
  <c r="K548" i="1"/>
  <c r="L543" i="1"/>
  <c r="I551" i="1"/>
  <c r="L538" i="1"/>
  <c r="H544" i="1"/>
  <c r="K550" i="1"/>
  <c r="G544" i="1"/>
  <c r="H551" i="1"/>
  <c r="L533" i="1"/>
  <c r="K549" i="1"/>
  <c r="G551" i="1"/>
  <c r="L528" i="1"/>
  <c r="F551" i="1"/>
  <c r="L523" i="1"/>
  <c r="C119" i="2"/>
  <c r="C20" i="10"/>
  <c r="H33" i="13"/>
  <c r="C32" i="10"/>
  <c r="L255" i="1"/>
  <c r="C29" i="10"/>
  <c r="C113" i="2"/>
  <c r="D17" i="13"/>
  <c r="C17" i="13" s="1"/>
  <c r="C122" i="2"/>
  <c r="D14" i="13"/>
  <c r="C14" i="13" s="1"/>
  <c r="C118" i="2"/>
  <c r="L246" i="1"/>
  <c r="F256" i="1"/>
  <c r="F270" i="1" s="1"/>
  <c r="G649" i="1"/>
  <c r="J649" i="1" s="1"/>
  <c r="C123" i="2"/>
  <c r="C19" i="10"/>
  <c r="E13" i="13"/>
  <c r="C13" i="13" s="1"/>
  <c r="D12" i="13"/>
  <c r="C12" i="13" s="1"/>
  <c r="C18" i="10"/>
  <c r="E8" i="13"/>
  <c r="C8" i="13" s="1"/>
  <c r="D6" i="13"/>
  <c r="C6" i="13" s="1"/>
  <c r="I256" i="1"/>
  <c r="I270" i="1" s="1"/>
  <c r="C111" i="2"/>
  <c r="K256" i="1"/>
  <c r="K270" i="1" s="1"/>
  <c r="L228" i="1"/>
  <c r="G659" i="1" s="1"/>
  <c r="C108" i="2"/>
  <c r="J256" i="1"/>
  <c r="J270" i="1" s="1"/>
  <c r="H256" i="1"/>
  <c r="H270" i="1" s="1"/>
  <c r="G256" i="1"/>
  <c r="G270" i="1" s="1"/>
  <c r="D15" i="13"/>
  <c r="C15" i="13" s="1"/>
  <c r="G648" i="1"/>
  <c r="J648" i="1" s="1"/>
  <c r="H646" i="1"/>
  <c r="C21" i="10"/>
  <c r="F661" i="1"/>
  <c r="C120" i="2"/>
  <c r="D7" i="13"/>
  <c r="C7" i="13" s="1"/>
  <c r="C117" i="2"/>
  <c r="C15" i="10"/>
  <c r="L210" i="1"/>
  <c r="C13" i="10"/>
  <c r="D5" i="13"/>
  <c r="C5" i="13" s="1"/>
  <c r="C109" i="2"/>
  <c r="J643" i="1"/>
  <c r="J639" i="1"/>
  <c r="L381" i="1"/>
  <c r="G635" i="1" s="1"/>
  <c r="J635" i="1" s="1"/>
  <c r="J624" i="1"/>
  <c r="G624" i="1"/>
  <c r="F50" i="2"/>
  <c r="C49" i="2"/>
  <c r="C50" i="2" s="1"/>
  <c r="G621" i="1"/>
  <c r="J621" i="1" s="1"/>
  <c r="C31" i="2"/>
  <c r="J616" i="1"/>
  <c r="C18" i="2"/>
  <c r="G163" i="2"/>
  <c r="K502" i="1"/>
  <c r="K499" i="1"/>
  <c r="G158" i="2"/>
  <c r="G155" i="2"/>
  <c r="G160" i="2"/>
  <c r="F111" i="1"/>
  <c r="C36" i="10" s="1"/>
  <c r="J622" i="1"/>
  <c r="G51" i="1"/>
  <c r="H617" i="1" s="1"/>
  <c r="J617" i="1" s="1"/>
  <c r="E31" i="2"/>
  <c r="E50" i="2" s="1"/>
  <c r="I368" i="1"/>
  <c r="H633" i="1" s="1"/>
  <c r="J633" i="1" s="1"/>
  <c r="F660" i="1"/>
  <c r="D29" i="13"/>
  <c r="C29" i="13" s="1"/>
  <c r="D126" i="2"/>
  <c r="D127" i="2" s="1"/>
  <c r="D144" i="2" s="1"/>
  <c r="H660" i="1"/>
  <c r="L361" i="1"/>
  <c r="C27" i="10" s="1"/>
  <c r="G660" i="1"/>
  <c r="E113" i="2"/>
  <c r="L336" i="1"/>
  <c r="H661" i="1"/>
  <c r="E118" i="2"/>
  <c r="K337" i="1"/>
  <c r="K351" i="1" s="1"/>
  <c r="L327" i="1"/>
  <c r="C12" i="10"/>
  <c r="J337" i="1"/>
  <c r="J351" i="1" s="1"/>
  <c r="C16" i="10"/>
  <c r="C11" i="10"/>
  <c r="H337" i="1"/>
  <c r="H351" i="1" s="1"/>
  <c r="G337" i="1"/>
  <c r="G351" i="1" s="1"/>
  <c r="F337" i="1"/>
  <c r="F351" i="1" s="1"/>
  <c r="E127" i="2"/>
  <c r="L289" i="1"/>
  <c r="E109" i="2"/>
  <c r="E108" i="2"/>
  <c r="C10" i="10"/>
  <c r="C24" i="10"/>
  <c r="G31" i="13"/>
  <c r="G33" i="13" s="1"/>
  <c r="I337" i="1"/>
  <c r="I351" i="1" s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C103" i="2"/>
  <c r="J651" i="1"/>
  <c r="J641" i="1"/>
  <c r="G570" i="1"/>
  <c r="I433" i="1"/>
  <c r="G433" i="1"/>
  <c r="I662" i="1"/>
  <c r="J646" i="1" l="1"/>
  <c r="K551" i="1"/>
  <c r="L544" i="1"/>
  <c r="E33" i="13"/>
  <c r="D35" i="13" s="1"/>
  <c r="H659" i="1"/>
  <c r="H663" i="1" s="1"/>
  <c r="H666" i="1" s="1"/>
  <c r="H647" i="1"/>
  <c r="J647" i="1" s="1"/>
  <c r="L256" i="1"/>
  <c r="L270" i="1" s="1"/>
  <c r="G631" i="1" s="1"/>
  <c r="J631" i="1" s="1"/>
  <c r="C114" i="2"/>
  <c r="I661" i="1"/>
  <c r="C127" i="2"/>
  <c r="F659" i="1"/>
  <c r="F663" i="1" s="1"/>
  <c r="F671" i="1" s="1"/>
  <c r="C4" i="10" s="1"/>
  <c r="H645" i="1"/>
  <c r="J645" i="1" s="1"/>
  <c r="F192" i="1"/>
  <c r="G626" i="1" s="1"/>
  <c r="J626" i="1" s="1"/>
  <c r="G634" i="1"/>
  <c r="J634" i="1" s="1"/>
  <c r="I660" i="1"/>
  <c r="G663" i="1"/>
  <c r="E114" i="2"/>
  <c r="E144" i="2" s="1"/>
  <c r="L337" i="1"/>
  <c r="L351" i="1" s="1"/>
  <c r="G632" i="1" s="1"/>
  <c r="J632" i="1" s="1"/>
  <c r="D31" i="13"/>
  <c r="C31" i="13" s="1"/>
  <c r="C28" i="10"/>
  <c r="D24" i="10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I659" i="1"/>
  <c r="I663" i="1" s="1"/>
  <c r="I671" i="1" s="1"/>
  <c r="C7" i="10" s="1"/>
  <c r="C144" i="2"/>
  <c r="F666" i="1"/>
  <c r="G671" i="1"/>
  <c r="C5" i="10" s="1"/>
  <c r="G666" i="1"/>
  <c r="D33" i="13"/>
  <c r="D36" i="13" s="1"/>
  <c r="D16" i="10"/>
  <c r="D26" i="10"/>
  <c r="C30" i="10"/>
  <c r="D10" i="10"/>
  <c r="D23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<sst xmlns="http://schemas.openxmlformats.org/spreadsheetml/2006/main" count="3956" uniqueCount="921">
  <si>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</si>
  <si>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</si>
  <si>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</si>
  <si>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</si>
  <si>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</si>
  <si>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</si>
  <si>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</si>
  <si>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</si>
  <si>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</si>
  <si>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</si>
  <si>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</si>
  <si>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</si>
  <si>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</si>
  <si>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</si>
  <si>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</si>
  <si>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</si>
  <si>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</si>
  <si>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</si>
  <si>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</si>
  <si>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</si>
  <si>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</si>
  <si>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</si>
  <si>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</si>
  <si>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</si>
  <si>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</si>
  <si>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</si>
  <si>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</si>
  <si>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</si>
  <si>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</si>
  <si>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</si>
  <si>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</si>
  <si>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</si>
  <si>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</si>
  <si>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</si>
  <si>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</si>
  <si>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</si>
  <si>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</si>
  <si>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</si>
  <si>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</si>
  <si>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</si>
  <si>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</si>
  <si>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</si>
  <si>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</si>
  <si>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</si>
  <si>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</si>
  <si>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</si>
  <si>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</si>
  <si>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</si>
  <si>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</si>
  <si>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</si>
  <si>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</si>
  <si>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</si>
  <si>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</si>
  <si>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</si>
  <si>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</si>
  <si>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</si>
  <si>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</si>
  <si>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</si>
  <si>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</si>
  <si>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</si>
  <si>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</si>
  <si>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</si>
  <si>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</si>
  <si>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</si>
  <si>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</si>
  <si>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</si>
  <si>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</si>
  <si>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</si>
  <si>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</si>
  <si>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</si>
  <si>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</si>
  <si>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</si>
  <si>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</si>
  <si>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</si>
  <si>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</si>
  <si>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</si>
  <si>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</si>
  <si>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</si>
  <si>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</si>
  <si>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</si>
  <si>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</si>
  <si>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</si>
  <si>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</si>
  <si>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</si>
  <si>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</si>
  <si>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</si>
  <si>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</si>
  <si>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</si>
  <si>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</si>
  <si>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</si>
  <si>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</si>
  <si>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</si>
  <si>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</si>
  <si>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</si>
  <si>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</si>
  <si>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</si>
  <si>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</si>
  <si>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</si>
  <si>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</si>
  <si>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</si>
  <si>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</si>
  <si>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</si>
  <si>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</si>
  <si>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</si>
  <si>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</si>
  <si>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</si>
  <si>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</si>
  <si>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</si>
  <si>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</si>
  <si>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</si>
  <si>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</si>
  <si>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</si>
  <si>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</si>
  <si>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</si>
  <si>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</si>
  <si>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</si>
  <si>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</si>
  <si>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</si>
  <si>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</si>
  <si>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</si>
  <si>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</si>
  <si>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</si>
  <si>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</si>
  <si>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</si>
  <si>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</si>
  <si>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</si>
  <si>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</si>
  <si>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</si>
  <si>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</si>
  <si>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</si>
  <si>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</si>
  <si>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</si>
  <si>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</si>
  <si>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</si>
  <si>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</si>
  <si>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</si>
  <si>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</si>
  <si>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</si>
  <si>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</si>
  <si>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</si>
  <si>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</si>
  <si>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</si>
  <si>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</si>
  <si>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</si>
  <si>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</si>
  <si>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</si>
  <si>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</si>
  <si>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</si>
  <si>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</si>
  <si>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</si>
  <si>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</si>
  <si>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</si>
  <si>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</si>
  <si>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</si>
  <si>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</si>
  <si>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</si>
  <si>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</si>
  <si>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</si>
  <si>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</si>
  <si>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</si>
  <si>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</si>
  <si>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</si>
  <si>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</si>
  <si>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</si>
  <si>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</si>
  <si>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</si>
  <si>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</si>
  <si>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</si>
  <si>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</si>
  <si>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</si>
  <si>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</si>
  <si>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</si>
  <si>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</si>
  <si>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</si>
  <si>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</si>
  <si>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</si>
  <si>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</si>
  <si>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</si>
  <si>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</si>
  <si>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</si>
  <si>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</si>
  <si>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</si>
  <si>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</si>
  <si>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</si>
  <si>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</si>
  <si>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</si>
  <si>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</si>
  <si>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</si>
  <si>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</si>
  <si>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</si>
  <si>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</si>
  <si>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</si>
  <si>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</si>
  <si>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</si>
  <si>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</si>
  <si>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</si>
  <si>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</si>
  <si>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</si>
  <si>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</si>
  <si>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</si>
  <si>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</si>
  <si>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</si>
  <si>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</si>
  <si>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</si>
  <si>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</si>
  <si>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</si>
  <si>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</si>
  <si>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</si>
  <si>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</si>
  <si>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</si>
  <si>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</si>
  <si>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</si>
  <si>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</si>
  <si>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</si>
  <si>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</si>
  <si>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</si>
  <si>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</si>
  <si>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</si>
  <si>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</si>
  <si>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</si>
  <si>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</si>
  <si>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</si>
  <si>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</si>
  <si>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</si>
  <si>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</si>
  <si>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</si>
  <si>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</si>
  <si>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</si>
  <si>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</si>
  <si>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</si>
  <si>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</si>
  <si>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</si>
  <si>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</si>
  <si>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</si>
  <si>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</si>
  <si>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</si>
  <si>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</si>
  <si>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</si>
  <si>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</si>
  <si>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</si>
  <si>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</si>
  <si>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</si>
  <si>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</si>
  <si>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</si>
  <si>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</si>
  <si>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</si>
  <si>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</si>
  <si>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</si>
  <si>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</si>
  <si>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</si>
  <si>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</si>
  <si>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</si>
  <si>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</si>
  <si>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</si>
  <si>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</si>
  <si>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</si>
  <si>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</si>
  <si>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</si>
  <si>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</si>
  <si>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</si>
  <si>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</si>
  <si>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</si>
  <si>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</si>
  <si>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</si>
  <si>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</si>
  <si>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</si>
  <si>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</si>
  <si>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</si>
  <si>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</si>
  <si>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</si>
  <si>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</si>
  <si>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</si>
  <si>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</si>
  <si>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</si>
  <si>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</si>
  <si>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</si>
  <si>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</si>
  <si>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</si>
  <si>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</si>
  <si>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</si>
  <si>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</si>
  <si>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</si>
  <si>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</si>
  <si>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</si>
  <si>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</si>
  <si>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</si>
  <si>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</si>
  <si>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</si>
  <si>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</si>
  <si>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</si>
  <si>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</si>
  <si>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</si>
  <si>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</si>
  <si>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</si>
  <si>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</si>
  <si>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</si>
  <si>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</si>
  <si>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</si>
  <si>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</si>
  <si>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</si>
  <si>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</si>
  <si>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</si>
  <si>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</si>
  <si>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</si>
  <si>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</si>
  <si>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</si>
  <si>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</si>
  <si>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</si>
  <si>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</si>
  <si>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</si>
  <si>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</si>
  <si>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</si>
  <si>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</si>
  <si>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</si>
  <si>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</si>
  <si>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</si>
  <si>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</si>
  <si>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</si>
  <si>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</si>
  <si>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</si>
  <si>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</si>
  <si>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</si>
  <si>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</si>
  <si>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</si>
  <si>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</si>
  <si>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</si>
  <si>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</si>
  <si>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</si>
  <si>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</si>
  <si>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</si>
  <si>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</si>
  <si>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</si>
  <si>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</si>
  <si>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</si>
  <si>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</si>
  <si>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</si>
  <si>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</si>
  <si>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</si>
  <si>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</si>
  <si>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</si>
  <si>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</si>
  <si>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</si>
  <si>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</si>
  <si>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</si>
  <si>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</si>
  <si>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</si>
  <si>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</si>
  <si>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</si>
  <si>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</si>
  <si>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</si>
  <si>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</si>
  <si>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</si>
  <si>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</si>
  <si>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</si>
  <si>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</si>
  <si>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</si>
  <si>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</si>
  <si>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</si>
  <si>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</si>
  <si>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</si>
  <si>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</si>
  <si>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</si>
  <si>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</si>
  <si>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</si>
  <si>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</si>
  <si>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</si>
  <si>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</si>
  <si>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</si>
  <si>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</si>
  <si>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</si>
  <si>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</si>
  <si>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</si>
  <si>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</si>
  <si>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</si>
  <si>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</si>
  <si>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</si>
  <si>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</si>
  <si>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</si>
  <si>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</si>
  <si>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</si>
  <si>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</si>
  <si>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</si>
  <si>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</si>
  <si>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</si>
  <si>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</si>
  <si>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</si>
  <si>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</si>
  <si>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</si>
  <si>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</si>
  <si>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</si>
  <si>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</si>
  <si>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</si>
  <si>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</si>
  <si>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</si>
  <si>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</si>
  <si>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</si>
  <si>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</si>
  <si>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</si>
  <si>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</si>
  <si>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</si>
  <si>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</si>
  <si>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</si>
  <si>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</si>
  <si>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</si>
  <si>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</si>
  <si>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</si>
  <si>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</si>
  <si>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</si>
  <si>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</si>
  <si>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</si>
  <si>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</si>
  <si>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</si>
  <si>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</si>
  <si>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</si>
  <si>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</si>
  <si>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</si>
  <si>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</si>
  <si>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</si>
  <si>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</si>
  <si>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</si>
  <si>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</si>
  <si>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</si>
  <si>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</si>
  <si>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</si>
  <si>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</si>
  <si>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</si>
  <si>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</si>
  <si>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</si>
  <si>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</si>
  <si>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</si>
  <si>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</si>
  <si>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</si>
  <si>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</si>
  <si>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</si>
  <si>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</si>
  <si>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</si>
  <si>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</si>
  <si>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</si>
  <si>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</si>
  <si>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</si>
  <si>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</si>
  <si>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</si>
  <si>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</si>
  <si>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</si>
  <si>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</si>
  <si>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</si>
  <si>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</si>
  <si>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</si>
  <si>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</si>
  <si>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</si>
  <si>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</si>
  <si>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</si>
  <si>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</si>
  <si>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</si>
  <si>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</si>
  <si>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</si>
  <si>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</si>
  <si>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</si>
  <si>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</si>
  <si>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</si>
  <si>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</si>
  <si>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</si>
  <si>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</si>
  <si>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</si>
  <si>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</si>
  <si>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</si>
  <si>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</si>
  <si>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</si>
  <si>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</si>
  <si>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</si>
  <si>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</si>
  <si>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</si>
  <si>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</si>
  <si>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</si>
  <si>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</si>
  <si>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</si>
  <si>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</si>
  <si>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</si>
  <si>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</si>
  <si>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</si>
  <si>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</si>
  <si>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</si>
  <si>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</si>
  <si>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</si>
  <si>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</si>
  <si>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</si>
  <si>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</si>
  <si>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</si>
  <si>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</si>
  <si>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</si>
  <si>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</si>
  <si>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</si>
  <si>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</si>
  <si>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</si>
  <si>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</si>
  <si>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</si>
  <si>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</si>
  <si>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</si>
  <si>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</si>
  <si>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</si>
  <si>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</si>
  <si>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</si>
  <si>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</si>
  <si>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</si>
  <si>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</si>
  <si>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</si>
  <si>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</si>
  <si>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</si>
  <si>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</si>
  <si>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</si>
  <si>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</si>
  <si>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</si>
  <si>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</si>
  <si>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</si>
  <si>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</si>
  <si>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</si>
  <si>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</si>
  <si>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</si>
  <si>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</si>
  <si>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</si>
  <si>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</si>
  <si>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</si>
  <si>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</si>
  <si>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</si>
  <si>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</si>
  <si>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</si>
  <si>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</si>
  <si>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</si>
  <si>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</si>
  <si>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</si>
  <si>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</si>
  <si>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</si>
  <si>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</si>
  <si>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</si>
  <si>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</si>
  <si>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</si>
  <si>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</si>
  <si>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</si>
  <si>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</si>
  <si>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</si>
  <si>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</si>
  <si>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</si>
  <si>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</si>
  <si>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</si>
  <si>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</si>
  <si>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</si>
  <si>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</si>
  <si>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</si>
  <si>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</si>
  <si>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</si>
  <si>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</si>
  <si>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</si>
  <si>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</si>
  <si>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</si>
  <si>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</si>
  <si>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</si>
  <si>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</si>
  <si>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</si>
  <si>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</si>
  <si>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</si>
  <si>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</si>
  <si>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</si>
  <si>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</si>
  <si>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</si>
  <si>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</si>
  <si>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</si>
  <si>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</si>
  <si>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</si>
  <si>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</si>
  <si>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</si>
  <si>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</si>
  <si>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</si>
  <si>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</si>
  <si>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</si>
  <si>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</si>
  <si>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</si>
  <si>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</si>
  <si>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</si>
  <si>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</si>
  <si>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</si>
  <si>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</si>
  <si>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</si>
  <si>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</si>
  <si>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</si>
  <si>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</si>
  <si>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</si>
  <si>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</si>
  <si>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</si>
  <si>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</si>
  <si>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</si>
  <si>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</si>
  <si>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</si>
  <si>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</si>
  <si>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</si>
  <si>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</si>
  <si>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</si>
  <si>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</si>
  <si>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</si>
  <si>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</si>
  <si>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</si>
  <si>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</si>
  <si>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</si>
  <si>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</si>
  <si>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</si>
  <si>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</si>
  <si>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</si>
  <si>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</si>
  <si>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</si>
  <si>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</si>
  <si>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</si>
  <si>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</si>
  <si>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</si>
  <si>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</si>
  <si>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</si>
  <si>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</si>
  <si>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</si>
  <si>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</si>
  <si>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</si>
  <si>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</si>
  <si>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</si>
  <si>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</si>
  <si>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</si>
  <si>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</si>
  <si>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</si>
  <si>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</si>
  <si>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</si>
  <si>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</si>
  <si>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</si>
  <si>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</si>
  <si>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</si>
  <si>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</si>
  <si>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</si>
  <si>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</si>
  <si>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</si>
  <si>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</si>
  <si>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</si>
  <si>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</si>
  <si>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</si>
  <si>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</si>
  <si>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</si>
  <si>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</si>
  <si>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</si>
  <si>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</si>
  <si>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</si>
  <si>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</si>
  <si>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</si>
  <si>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</si>
  <si>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</si>
  <si>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</si>
  <si>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</si>
  <si>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</si>
  <si>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</si>
  <si>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</si>
  <si>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</si>
  <si>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</si>
  <si>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</si>
  <si>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</si>
  <si>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</si>
  <si>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</si>
  <si>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</si>
  <si>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</si>
  <si>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</si>
  <si>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</si>
  <si>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</si>
  <si>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</si>
  <si>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</si>
  <si>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</si>
  <si>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</si>
  <si>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</si>
  <si>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</si>
  <si>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</si>
  <si>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</si>
  <si>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</si>
  <si>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</si>
  <si>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</si>
  <si>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</si>
  <si>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</si>
  <si>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</si>
  <si>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</si>
  <si>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</si>
  <si>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</si>
  <si>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</si>
  <si>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</si>
  <si>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</si>
  <si>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</si>
  <si>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</si>
  <si>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</si>
  <si>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</si>
  <si>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</si>
  <si>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</si>
  <si>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</si>
  <si>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</si>
  <si>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</si>
  <si>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</si>
  <si>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</si>
  <si>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</si>
  <si>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</si>
  <si>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</si>
  <si>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</si>
  <si>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</si>
  <si>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</si>
  <si>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</si>
  <si>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</si>
  <si>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</si>
  <si>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</si>
  <si>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</si>
  <si>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</si>
  <si>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</si>
  <si>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</si>
  <si>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</si>
  <si>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</si>
  <si>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</si>
  <si>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</si>
  <si>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</si>
  <si>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</si>
  <si>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</si>
  <si>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</si>
  <si>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</si>
  <si>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</si>
  <si>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</si>
  <si>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</si>
  <si>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</si>
  <si>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</si>
  <si>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</si>
  <si>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</si>
  <si>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</si>
  <si>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</si>
  <si>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</si>
  <si>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</si>
  <si>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</si>
  <si>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</si>
  <si>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</si>
  <si>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</si>
  <si>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</si>
  <si>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</si>
  <si>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</si>
  <si>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</si>
  <si>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</si>
  <si>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</si>
  <si>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</si>
  <si>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</si>
  <si>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</si>
  <si>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</si>
  <si>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</si>
  <si>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</si>
  <si>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</si>
  <si>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</si>
  <si>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</si>
  <si>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</si>
  <si>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</si>
  <si>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</si>
  <si>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</si>
  <si>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</si>
  <si>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</si>
  <si>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</si>
  <si>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</si>
  <si>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</si>
  <si>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</si>
  <si>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</si>
  <si>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</si>
  <si>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</si>
  <si>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</si>
  <si>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</si>
  <si>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</si>
  <si>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</si>
  <si>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</si>
  <si>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</si>
  <si>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</si>
  <si>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</si>
  <si>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</si>
  <si>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</si>
  <si>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</si>
  <si>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</si>
  <si>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</si>
  <si>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</si>
  <si>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</si>
  <si>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</si>
  <si>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</si>
  <si>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</si>
  <si>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</si>
  <si>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</si>
  <si>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</si>
  <si>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</si>
  <si>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</si>
  <si>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</si>
  <si>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</si>
  <si>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</si>
  <si>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</si>
  <si>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</si>
  <si>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</si>
  <si>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</si>
  <si>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</si>
  <si>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</si>
  <si>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</si>
  <si>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</si>
  <si>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</si>
  <si>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</si>
  <si>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</si>
  <si>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</si>
  <si>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</si>
  <si>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</si>
  <si>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</si>
  <si>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</si>
  <si>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</si>
  <si>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</si>
  <si>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</si>
  <si>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</si>
  <si>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</si>
  <si>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</si>
  <si>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</si>
  <si>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</si>
  <si>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</si>
  <si>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</si>
  <si>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</si>
  <si>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</si>
  <si>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</si>
  <si>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</si>
  <si>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</si>
  <si>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</si>
  <si>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</si>
  <si>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</si>
  <si>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</si>
  <si>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</si>
  <si>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</si>
  <si>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</si>
  <si>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</si>
  <si>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</si>
  <si>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</si>
  <si>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</si>
  <si>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</si>
  <si>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</si>
  <si>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</si>
  <si>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</si>
  <si>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</si>
  <si>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</si>
  <si>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</si>
  <si>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</si>
  <si>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</si>
  <si>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</si>
  <si>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</si>
  <si>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</si>
  <si>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</si>
  <si>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</si>
  <si>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</si>
  <si>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</si>
  <si>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</si>
  <si>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</si>
  <si>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</si>
  <si>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</si>
  <si>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</si>
  <si>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</si>
  <si>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</si>
  <si>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</si>
  <si>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</si>
  <si>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</si>
  <si>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</si>
  <si>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</si>
  <si>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</si>
  <si>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</si>
  <si>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</si>
  <si>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</si>
  <si>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</si>
  <si>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</si>
  <si>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</si>
  <si>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</si>
  <si>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</si>
  <si>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</si>
  <si>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</si>
  <si>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</si>
  <si>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</si>
  <si>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</si>
  <si>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</si>
  <si>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</si>
  <si>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</si>
  <si>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</si>
  <si>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</si>
  <si>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</si>
  <si>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</si>
  <si>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</si>
  <si>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</si>
  <si>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</si>
  <si>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</si>
  <si>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</si>
  <si>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</si>
  <si>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</si>
  <si>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</si>
  <si>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</si>
  <si>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</si>
  <si>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</si>
  <si>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</si>
  <si>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</si>
  <si>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</si>
  <si>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</si>
  <si>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</si>
  <si>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</si>
  <si>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</si>
  <si>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</si>
  <si>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</si>
  <si>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</si>
  <si>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</si>
  <si>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</si>
  <si>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</si>
  <si>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</si>
  <si>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</si>
  <si>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</si>
  <si>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</si>
  <si>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</si>
  <si>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</si>
  <si>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</si>
  <si>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08/92</t>
  </si>
  <si>
    <t>08/12</t>
  </si>
  <si>
    <t>"5.3-6.2</t>
  </si>
  <si>
    <t>08/02</t>
  </si>
  <si>
    <t>"3.0-4.0</t>
  </si>
  <si>
    <t>06/09</t>
  </si>
  <si>
    <t>06/14</t>
  </si>
  <si>
    <t>07/09</t>
  </si>
  <si>
    <t>07/10</t>
  </si>
  <si>
    <t>07/39</t>
  </si>
  <si>
    <t>08/40</t>
  </si>
  <si>
    <t>Governor Wentworth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</si>
</sst>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920</v>
      </c>
      <c r="B2" s="21">
        <v>208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1372021.83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>
        <v>589109.78</v>
      </c>
      <c r="J12" s="67">
        <f>SUM(I440)</f>
        <v>43934.1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1262205.03</v>
      </c>
      <c r="G13" s="18">
        <v>90290.37</v>
      </c>
      <c r="H13" s="18">
        <v>266307.42</v>
      </c>
      <c r="I13" s="18"/>
      <c r="J13" s="67">
        <f>SUM(I441)</f>
        <v>1094311.6200000001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5948.5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2640185.3600000003</v>
      </c>
      <c r="G19" s="41">
        <f>SUM(G9:G18)</f>
        <v>90290.37</v>
      </c>
      <c r="H19" s="41">
        <f>SUM(H9:H18)</f>
        <v>266307.42</v>
      </c>
      <c r="I19" s="41">
        <f>SUM(I9:I18)</f>
        <v>589109.78</v>
      </c>
      <c r="J19" s="41">
        <f>SUM(J9:J18)</f>
        <v>1138245.7200000002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351323.4</v>
      </c>
      <c r="G22" s="18">
        <v>53565.42</v>
      </c>
      <c r="H22" s="18">
        <v>231414.78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70000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230544.86</v>
      </c>
      <c r="G28" s="18">
        <v>13331.33</v>
      </c>
      <c r="H28" s="18">
        <v>18436.310000000001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2656.89</v>
      </c>
      <c r="G30" s="18">
        <v>14073</v>
      </c>
      <c r="H30" s="18">
        <v>16456.330000000002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584525.15</v>
      </c>
      <c r="G32" s="41">
        <f>SUM(G22:G31)</f>
        <v>80969.75</v>
      </c>
      <c r="H32" s="41">
        <f>SUM(H22:H31)</f>
        <v>266307.42</v>
      </c>
      <c r="I32" s="41">
        <f>SUM(I22:I31)</f>
        <v>70000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9320.6200000000008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>
        <v>519109.78</v>
      </c>
      <c r="J47" s="13">
        <f>SUM(I458)</f>
        <v>1138245.72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63694.67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1991965.54-60000</f>
        <v>1931965.54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2055660.21</v>
      </c>
      <c r="G50" s="41">
        <f>SUM(G35:G49)</f>
        <v>9320.6200000000008</v>
      </c>
      <c r="H50" s="41">
        <f>SUM(H35:H49)</f>
        <v>0</v>
      </c>
      <c r="I50" s="41">
        <f>SUM(I35:I49)</f>
        <v>519109.78</v>
      </c>
      <c r="J50" s="41">
        <f>SUM(J35:J49)</f>
        <v>1138245.72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2640185.36</v>
      </c>
      <c r="G51" s="41">
        <f>G50+G32</f>
        <v>90290.37</v>
      </c>
      <c r="H51" s="41">
        <f>H50+H32</f>
        <v>266307.42</v>
      </c>
      <c r="I51" s="41">
        <f>I50+I32</f>
        <v>589109.78</v>
      </c>
      <c r="J51" s="41">
        <f>J50+J32</f>
        <v>1138245.72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25398883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25398883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35795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3615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144951.34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308671.90000000002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173564.58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666597.81999999995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1273.54</v>
      </c>
      <c r="G95" s="18"/>
      <c r="H95" s="18"/>
      <c r="I95" s="18"/>
      <c r="J95" s="18">
        <v>206773.01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477655.89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10415.69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3578.55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4590.54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205.11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377987.44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398050.87</v>
      </c>
      <c r="G110" s="41">
        <f>SUM(G95:G109)</f>
        <v>477655.89</v>
      </c>
      <c r="H110" s="41">
        <f>SUM(H95:H109)</f>
        <v>0</v>
      </c>
      <c r="I110" s="41">
        <f>SUM(I95:I109)</f>
        <v>0</v>
      </c>
      <c r="J110" s="41">
        <f>SUM(J95:J109)</f>
        <v>206773.01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26463531.690000001</v>
      </c>
      <c r="G111" s="41">
        <f>G59+G110</f>
        <v>477655.89</v>
      </c>
      <c r="H111" s="41">
        <f>H59+H78+H93+H110</f>
        <v>0</v>
      </c>
      <c r="I111" s="41">
        <f>I59+I110</f>
        <v>0</v>
      </c>
      <c r="J111" s="41">
        <f>J59+J110</f>
        <v>206773.01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4019799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10556641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14576440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2031555.85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215632.6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214081.16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11505.91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2461269.6100000003</v>
      </c>
      <c r="G135" s="41">
        <f>SUM(G122:G134)</f>
        <v>11505.91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17037709.609999999</v>
      </c>
      <c r="G139" s="41">
        <f>G120+SUM(G135:G136)</f>
        <v>11505.91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699192.13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284111.09000000003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130868.14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123304.27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443259.96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612360.5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443259.96</v>
      </c>
      <c r="H161" s="41">
        <f>SUM(H149:H160)</f>
        <v>1849836.13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443259.96</v>
      </c>
      <c r="H168" s="41">
        <f>H146+H161+SUM(H162:H167)</f>
        <v>1849836.13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43501241.299999997</v>
      </c>
      <c r="G192" s="47">
        <f>G111+G139+G168+G191</f>
        <v>932421.76</v>
      </c>
      <c r="H192" s="47">
        <f>H111+H139+H168+H191</f>
        <v>1849836.13</v>
      </c>
      <c r="I192" s="47">
        <f>I111+I139+I168+I191</f>
        <v>0</v>
      </c>
      <c r="J192" s="47">
        <f>J111+J139+J191</f>
        <v>206773.01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5464602.2199999997</v>
      </c>
      <c r="G196" s="18">
        <v>2247231.2400000002</v>
      </c>
      <c r="H196" s="18">
        <v>18842.88</v>
      </c>
      <c r="I196" s="18">
        <v>259783.97</v>
      </c>
      <c r="J196" s="18">
        <v>60471.44</v>
      </c>
      <c r="K196" s="18">
        <v>414</v>
      </c>
      <c r="L196" s="19">
        <f>SUM(F196:K196)</f>
        <v>8051345.75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2389133.88</v>
      </c>
      <c r="G197" s="18">
        <v>1032387.46</v>
      </c>
      <c r="H197" s="18">
        <v>591957.38</v>
      </c>
      <c r="I197" s="18">
        <v>26065.58</v>
      </c>
      <c r="J197" s="18">
        <v>6826.87</v>
      </c>
      <c r="K197" s="18">
        <v>789.5</v>
      </c>
      <c r="L197" s="19">
        <f>SUM(F197:K197)</f>
        <v>4047160.67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20501.43</v>
      </c>
      <c r="G199" s="18">
        <v>2472.6999999999998</v>
      </c>
      <c r="H199" s="18"/>
      <c r="I199" s="18"/>
      <c r="J199" s="18"/>
      <c r="K199" s="18"/>
      <c r="L199" s="19">
        <f>SUM(F199:K199)</f>
        <v>22974.13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580955.09</v>
      </c>
      <c r="G201" s="18">
        <v>258201.05</v>
      </c>
      <c r="H201" s="18">
        <v>144798.5</v>
      </c>
      <c r="I201" s="18">
        <v>5744.56</v>
      </c>
      <c r="J201" s="18">
        <v>361.33</v>
      </c>
      <c r="K201" s="18">
        <v>35</v>
      </c>
      <c r="L201" s="19">
        <f t="shared" ref="L201:L207" si="0">SUM(F201:K201)</f>
        <v>990095.52999999991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401207.44</v>
      </c>
      <c r="G202" s="18">
        <v>223339.49</v>
      </c>
      <c r="H202" s="18">
        <v>28102.799999999999</v>
      </c>
      <c r="I202" s="18">
        <v>66067.649999999994</v>
      </c>
      <c r="J202" s="18">
        <v>22046.15</v>
      </c>
      <c r="K202" s="18">
        <v>131.71</v>
      </c>
      <c r="L202" s="19">
        <f t="shared" si="0"/>
        <v>740895.24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197498.04</v>
      </c>
      <c r="G203" s="18">
        <v>98200.62</v>
      </c>
      <c r="H203" s="18">
        <v>44255</v>
      </c>
      <c r="I203" s="18">
        <v>17614.759999999998</v>
      </c>
      <c r="J203" s="18">
        <v>724</v>
      </c>
      <c r="K203" s="18">
        <v>4728.8</v>
      </c>
      <c r="L203" s="19">
        <f t="shared" si="0"/>
        <v>363021.22000000003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735060.55</v>
      </c>
      <c r="G204" s="18">
        <v>376832.74</v>
      </c>
      <c r="H204" s="18">
        <v>97172.81</v>
      </c>
      <c r="I204" s="18">
        <v>11045.44</v>
      </c>
      <c r="J204" s="18">
        <v>9693.7999999999993</v>
      </c>
      <c r="K204" s="18">
        <v>2188.77</v>
      </c>
      <c r="L204" s="19">
        <f t="shared" si="0"/>
        <v>1231994.1100000001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97499.6</v>
      </c>
      <c r="G205" s="18">
        <v>48963.7</v>
      </c>
      <c r="H205" s="18">
        <v>14187.68</v>
      </c>
      <c r="I205" s="18">
        <v>9890.94</v>
      </c>
      <c r="J205" s="18">
        <v>522</v>
      </c>
      <c r="K205" s="18">
        <v>10574.41</v>
      </c>
      <c r="L205" s="19">
        <f t="shared" si="0"/>
        <v>181638.33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687848.54</v>
      </c>
      <c r="G206" s="18">
        <v>297683.02</v>
      </c>
      <c r="H206" s="18">
        <v>354916.62</v>
      </c>
      <c r="I206" s="18">
        <v>503832.81</v>
      </c>
      <c r="J206" s="18">
        <v>18394.169999999998</v>
      </c>
      <c r="K206" s="18"/>
      <c r="L206" s="19">
        <f t="shared" si="0"/>
        <v>1862675.1600000001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782097.86</v>
      </c>
      <c r="G207" s="18">
        <v>251295.56</v>
      </c>
      <c r="H207" s="18">
        <v>213269.89</v>
      </c>
      <c r="I207" s="18">
        <v>146102.25</v>
      </c>
      <c r="J207" s="18">
        <v>109245.96</v>
      </c>
      <c r="K207" s="18"/>
      <c r="L207" s="19">
        <f t="shared" si="0"/>
        <v>1502011.52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11356404.649999999</v>
      </c>
      <c r="G210" s="41">
        <f t="shared" si="1"/>
        <v>4836607.580000001</v>
      </c>
      <c r="H210" s="41">
        <f t="shared" si="1"/>
        <v>1507503.56</v>
      </c>
      <c r="I210" s="41">
        <f t="shared" si="1"/>
        <v>1046147.96</v>
      </c>
      <c r="J210" s="41">
        <f t="shared" si="1"/>
        <v>228285.72000000003</v>
      </c>
      <c r="K210" s="41">
        <f t="shared" si="1"/>
        <v>18862.190000000002</v>
      </c>
      <c r="L210" s="41">
        <f t="shared" si="1"/>
        <v>18993811.66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2182837.7200000002</v>
      </c>
      <c r="G214" s="18">
        <v>1098279.5</v>
      </c>
      <c r="H214" s="18">
        <v>23959.95</v>
      </c>
      <c r="I214" s="18">
        <v>72603.399999999994</v>
      </c>
      <c r="J214" s="18">
        <v>90402.47</v>
      </c>
      <c r="K214" s="18">
        <v>74</v>
      </c>
      <c r="L214" s="19">
        <f>SUM(F214:K214)</f>
        <v>3468157.0400000005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795466.63</v>
      </c>
      <c r="G215" s="18">
        <v>348361.37</v>
      </c>
      <c r="H215" s="18">
        <v>47811.44</v>
      </c>
      <c r="I215" s="18">
        <v>7472.67</v>
      </c>
      <c r="J215" s="18">
        <v>914.74</v>
      </c>
      <c r="K215" s="18">
        <v>315.8</v>
      </c>
      <c r="L215" s="19">
        <f>SUM(F215:K215)</f>
        <v>1200342.6499999999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56818.32</v>
      </c>
      <c r="G217" s="18">
        <v>9623.99</v>
      </c>
      <c r="H217" s="18">
        <v>11566.65</v>
      </c>
      <c r="I217" s="18">
        <v>7488.48</v>
      </c>
      <c r="J217" s="18">
        <v>9468.76</v>
      </c>
      <c r="K217" s="18"/>
      <c r="L217" s="19">
        <f>SUM(F217:K217)</f>
        <v>94966.199999999983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134737.04</v>
      </c>
      <c r="G219" s="18">
        <v>82002.58</v>
      </c>
      <c r="H219" s="18">
        <v>45916.9</v>
      </c>
      <c r="I219" s="18">
        <v>1972.1</v>
      </c>
      <c r="J219" s="18">
        <v>3093.78</v>
      </c>
      <c r="K219" s="18">
        <v>330</v>
      </c>
      <c r="L219" s="19">
        <f t="shared" ref="L219:L225" si="2">SUM(F219:K219)</f>
        <v>268052.40000000002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75766.66</v>
      </c>
      <c r="G220" s="18">
        <v>71034.3</v>
      </c>
      <c r="H220" s="18">
        <v>10255.370000000001</v>
      </c>
      <c r="I220" s="18">
        <v>30829.57</v>
      </c>
      <c r="J220" s="18">
        <v>12818.21</v>
      </c>
      <c r="K220" s="18">
        <v>1335</v>
      </c>
      <c r="L220" s="19">
        <f t="shared" si="2"/>
        <v>202039.11000000002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68743.11</v>
      </c>
      <c r="G221" s="18">
        <v>34062.11</v>
      </c>
      <c r="H221" s="18">
        <v>17567.96</v>
      </c>
      <c r="I221" s="18">
        <v>7045.9</v>
      </c>
      <c r="J221" s="18">
        <v>289.60000000000002</v>
      </c>
      <c r="K221" s="18">
        <v>1891.53</v>
      </c>
      <c r="L221" s="19">
        <f t="shared" si="2"/>
        <v>129600.20999999999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275658.77</v>
      </c>
      <c r="G222" s="18">
        <v>134689.78</v>
      </c>
      <c r="H222" s="18">
        <v>34505.769999999997</v>
      </c>
      <c r="I222" s="18">
        <v>5309.35</v>
      </c>
      <c r="J222" s="18">
        <v>702.46</v>
      </c>
      <c r="K222" s="18">
        <v>1231</v>
      </c>
      <c r="L222" s="19">
        <f t="shared" si="2"/>
        <v>452097.13000000006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31091.89</v>
      </c>
      <c r="G223" s="18">
        <v>16404.900000000001</v>
      </c>
      <c r="H223" s="18">
        <v>5675.07</v>
      </c>
      <c r="I223" s="18">
        <v>3956.37</v>
      </c>
      <c r="J223" s="18">
        <v>208.8</v>
      </c>
      <c r="K223" s="18">
        <v>4229.76</v>
      </c>
      <c r="L223" s="19">
        <f t="shared" si="2"/>
        <v>61566.790000000008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132693.84</v>
      </c>
      <c r="G224" s="18">
        <v>86021.54</v>
      </c>
      <c r="H224" s="18">
        <v>129071.54</v>
      </c>
      <c r="I224" s="18">
        <v>177395.72</v>
      </c>
      <c r="J224" s="18">
        <v>1000</v>
      </c>
      <c r="K224" s="18"/>
      <c r="L224" s="19">
        <f t="shared" si="2"/>
        <v>526182.64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44563.76</v>
      </c>
      <c r="G225" s="18">
        <v>99806.64</v>
      </c>
      <c r="H225" s="18">
        <v>53766.46</v>
      </c>
      <c r="I225" s="18">
        <v>56548.57</v>
      </c>
      <c r="J225" s="18">
        <v>43698.39</v>
      </c>
      <c r="K225" s="18"/>
      <c r="L225" s="19">
        <f t="shared" si="2"/>
        <v>298383.82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3798377.7399999998</v>
      </c>
      <c r="G228" s="41">
        <f>SUM(G214:G227)</f>
        <v>1980286.7100000002</v>
      </c>
      <c r="H228" s="41">
        <f>SUM(H214:H227)</f>
        <v>380097.11</v>
      </c>
      <c r="I228" s="41">
        <f>SUM(I214:I227)</f>
        <v>370622.13</v>
      </c>
      <c r="J228" s="41">
        <f>SUM(J214:J227)</f>
        <v>162597.21000000002</v>
      </c>
      <c r="K228" s="41">
        <f t="shared" si="3"/>
        <v>9407.09</v>
      </c>
      <c r="L228" s="41">
        <f t="shared" si="3"/>
        <v>6701387.9900000012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3072951.58</v>
      </c>
      <c r="G232" s="18">
        <v>1760907.56</v>
      </c>
      <c r="H232" s="18">
        <v>244389.68</v>
      </c>
      <c r="I232" s="18">
        <v>155110.18</v>
      </c>
      <c r="J232" s="18">
        <v>105000.28</v>
      </c>
      <c r="K232" s="18"/>
      <c r="L232" s="19">
        <f>SUM(F232:K232)</f>
        <v>5338359.28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830132.42</v>
      </c>
      <c r="G233" s="18">
        <v>562322.91</v>
      </c>
      <c r="H233" s="18">
        <v>271374.57</v>
      </c>
      <c r="I233" s="18">
        <v>7142.56</v>
      </c>
      <c r="J233" s="18">
        <v>721.35</v>
      </c>
      <c r="K233" s="18">
        <v>473.7</v>
      </c>
      <c r="L233" s="19">
        <f>SUM(F233:K233)</f>
        <v>1672167.5100000002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750308.15</v>
      </c>
      <c r="G234" s="18">
        <v>339293.55</v>
      </c>
      <c r="H234" s="18">
        <v>7042.26</v>
      </c>
      <c r="I234" s="18">
        <v>31051.040000000001</v>
      </c>
      <c r="J234" s="18">
        <v>18402.2</v>
      </c>
      <c r="K234" s="18">
        <v>565</v>
      </c>
      <c r="L234" s="19">
        <f>SUM(F234:K234)</f>
        <v>1146662.2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278838.08</v>
      </c>
      <c r="G235" s="18">
        <v>41855.75</v>
      </c>
      <c r="H235" s="18">
        <v>87478.47</v>
      </c>
      <c r="I235" s="18">
        <v>13539.14</v>
      </c>
      <c r="J235" s="18">
        <v>41972.07</v>
      </c>
      <c r="K235" s="18">
        <v>9504</v>
      </c>
      <c r="L235" s="19">
        <f>SUM(F235:K235)</f>
        <v>473187.51000000007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331681.14</v>
      </c>
      <c r="G237" s="18">
        <v>169090.3</v>
      </c>
      <c r="H237" s="18">
        <v>60540.51</v>
      </c>
      <c r="I237" s="18">
        <v>6674.41</v>
      </c>
      <c r="J237" s="18">
        <v>3423.54</v>
      </c>
      <c r="K237" s="18">
        <v>25</v>
      </c>
      <c r="L237" s="19">
        <f t="shared" ref="L237:L243" si="4">SUM(F237:K237)</f>
        <v>571434.9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179787.39</v>
      </c>
      <c r="G238" s="18">
        <v>126723.12</v>
      </c>
      <c r="H238" s="18">
        <v>27141.37</v>
      </c>
      <c r="I238" s="18">
        <v>47244.37</v>
      </c>
      <c r="J238" s="18">
        <v>31507.47</v>
      </c>
      <c r="K238" s="18">
        <v>928</v>
      </c>
      <c r="L238" s="19">
        <f t="shared" si="4"/>
        <v>413331.72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127528.54</v>
      </c>
      <c r="G239" s="18">
        <v>63068.21</v>
      </c>
      <c r="H239" s="18">
        <v>26351.94</v>
      </c>
      <c r="I239" s="18">
        <v>10568.86</v>
      </c>
      <c r="J239" s="18">
        <v>434.4</v>
      </c>
      <c r="K239" s="18">
        <v>2837.3</v>
      </c>
      <c r="L239" s="19">
        <f t="shared" si="4"/>
        <v>230789.24999999997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396976.13</v>
      </c>
      <c r="G240" s="18">
        <v>231158.49</v>
      </c>
      <c r="H240" s="18">
        <v>91139.54</v>
      </c>
      <c r="I240" s="18">
        <v>17921.84</v>
      </c>
      <c r="J240" s="18">
        <v>1151.1099999999999</v>
      </c>
      <c r="K240" s="18">
        <v>4435</v>
      </c>
      <c r="L240" s="19">
        <f t="shared" si="4"/>
        <v>742782.11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66407.69</v>
      </c>
      <c r="G241" s="18">
        <v>33125.949999999997</v>
      </c>
      <c r="H241" s="18">
        <v>8512.61</v>
      </c>
      <c r="I241" s="18">
        <v>10322.790000000001</v>
      </c>
      <c r="J241" s="18">
        <v>313.2</v>
      </c>
      <c r="K241" s="18">
        <v>6344.64</v>
      </c>
      <c r="L241" s="19">
        <f t="shared" si="4"/>
        <v>125026.88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406981.22</v>
      </c>
      <c r="G242" s="18">
        <v>194122.29</v>
      </c>
      <c r="H242" s="18">
        <v>410615.73</v>
      </c>
      <c r="I242" s="18">
        <v>443404.91</v>
      </c>
      <c r="J242" s="18">
        <v>3355.47</v>
      </c>
      <c r="K242" s="18"/>
      <c r="L242" s="19">
        <f t="shared" si="4"/>
        <v>1458479.6199999999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94182.43</v>
      </c>
      <c r="G243" s="18">
        <v>62652.83</v>
      </c>
      <c r="H243" s="18">
        <v>93297.79</v>
      </c>
      <c r="I243" s="18">
        <v>105455.36</v>
      </c>
      <c r="J243" s="18">
        <v>65547.570000000007</v>
      </c>
      <c r="K243" s="18"/>
      <c r="L243" s="19">
        <f t="shared" si="4"/>
        <v>421135.98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6535774.7699999996</v>
      </c>
      <c r="G246" s="41">
        <f t="shared" si="5"/>
        <v>3584320.96</v>
      </c>
      <c r="H246" s="41">
        <f t="shared" si="5"/>
        <v>1327884.47</v>
      </c>
      <c r="I246" s="41">
        <f t="shared" si="5"/>
        <v>848435.46</v>
      </c>
      <c r="J246" s="41">
        <f t="shared" si="5"/>
        <v>271828.66000000003</v>
      </c>
      <c r="K246" s="41">
        <f t="shared" si="5"/>
        <v>25112.639999999999</v>
      </c>
      <c r="L246" s="41">
        <f t="shared" si="5"/>
        <v>12593356.960000003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10384.09</v>
      </c>
      <c r="G250" s="18">
        <v>1807.31</v>
      </c>
      <c r="H250" s="18"/>
      <c r="I250" s="18"/>
      <c r="J250" s="18"/>
      <c r="K250" s="18"/>
      <c r="L250" s="19">
        <f t="shared" si="6"/>
        <v>12191.4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2049.4</v>
      </c>
      <c r="G252" s="18">
        <v>254.32</v>
      </c>
      <c r="H252" s="18"/>
      <c r="I252" s="18">
        <v>4677.8999999999996</v>
      </c>
      <c r="J252" s="18"/>
      <c r="K252" s="18"/>
      <c r="L252" s="19">
        <f t="shared" si="6"/>
        <v>6981.62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149967.59</v>
      </c>
      <c r="K254" s="18"/>
      <c r="L254" s="19">
        <f t="shared" si="6"/>
        <v>149967.59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12433.49</v>
      </c>
      <c r="G255" s="41">
        <f t="shared" si="7"/>
        <v>2061.63</v>
      </c>
      <c r="H255" s="41">
        <f t="shared" si="7"/>
        <v>0</v>
      </c>
      <c r="I255" s="41">
        <f t="shared" si="7"/>
        <v>4677.8999999999996</v>
      </c>
      <c r="J255" s="41">
        <f t="shared" si="7"/>
        <v>149967.59</v>
      </c>
      <c r="K255" s="41">
        <f t="shared" si="7"/>
        <v>0</v>
      </c>
      <c r="L255" s="41">
        <f>SUM(F255:K255)</f>
        <v>169140.61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21702990.649999995</v>
      </c>
      <c r="G256" s="41">
        <f t="shared" si="8"/>
        <v>10403276.880000001</v>
      </c>
      <c r="H256" s="41">
        <f t="shared" si="8"/>
        <v>3215485.1399999997</v>
      </c>
      <c r="I256" s="41">
        <f t="shared" si="8"/>
        <v>2269883.4499999997</v>
      </c>
      <c r="J256" s="41">
        <f t="shared" si="8"/>
        <v>812679.18</v>
      </c>
      <c r="K256" s="41">
        <f t="shared" si="8"/>
        <v>53381.919999999998</v>
      </c>
      <c r="L256" s="41">
        <f t="shared" si="8"/>
        <v>38457697.220000006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3701391.26</v>
      </c>
      <c r="L259" s="19">
        <f>SUM(F259:K259)</f>
        <v>3701391.26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412781.81</v>
      </c>
      <c r="L260" s="19">
        <f>SUM(F260:K260)</f>
        <v>412781.81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4114173.07</v>
      </c>
      <c r="L269" s="41">
        <f t="shared" si="9"/>
        <v>4114173.07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21702990.649999995</v>
      </c>
      <c r="G270" s="42">
        <f t="shared" si="11"/>
        <v>10403276.880000001</v>
      </c>
      <c r="H270" s="42">
        <f t="shared" si="11"/>
        <v>3215485.1399999997</v>
      </c>
      <c r="I270" s="42">
        <f t="shared" si="11"/>
        <v>2269883.4499999997</v>
      </c>
      <c r="J270" s="42">
        <f t="shared" si="11"/>
        <v>812679.18</v>
      </c>
      <c r="K270" s="42">
        <f t="shared" si="11"/>
        <v>4167554.9899999998</v>
      </c>
      <c r="L270" s="42">
        <f t="shared" si="11"/>
        <v>42571870.290000007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411237.35</v>
      </c>
      <c r="G275" s="18">
        <v>192319.1</v>
      </c>
      <c r="H275" s="18">
        <v>98254.66</v>
      </c>
      <c r="I275" s="18">
        <v>36357.46</v>
      </c>
      <c r="J275" s="18">
        <v>1098</v>
      </c>
      <c r="K275" s="18"/>
      <c r="L275" s="19">
        <f>SUM(F275:K275)</f>
        <v>739266.57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125125.78</v>
      </c>
      <c r="G276" s="18">
        <v>87062.83</v>
      </c>
      <c r="H276" s="18"/>
      <c r="I276" s="18">
        <v>1598.27</v>
      </c>
      <c r="J276" s="18">
        <v>65349.760000000002</v>
      </c>
      <c r="K276" s="18"/>
      <c r="L276" s="19">
        <f>SUM(F276:K276)</f>
        <v>279136.63999999996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1250</v>
      </c>
      <c r="G281" s="18">
        <v>95.62</v>
      </c>
      <c r="H281" s="18">
        <v>36294.550000000003</v>
      </c>
      <c r="I281" s="18">
        <v>15253.6</v>
      </c>
      <c r="J281" s="18"/>
      <c r="K281" s="18"/>
      <c r="L281" s="19">
        <f t="shared" si="12"/>
        <v>52893.770000000004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5250</v>
      </c>
      <c r="I286" s="18"/>
      <c r="J286" s="18"/>
      <c r="K286" s="18"/>
      <c r="L286" s="19">
        <f t="shared" si="12"/>
        <v>5250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537613.13</v>
      </c>
      <c r="G289" s="42">
        <f t="shared" si="13"/>
        <v>279477.55</v>
      </c>
      <c r="H289" s="42">
        <f t="shared" si="13"/>
        <v>139799.21000000002</v>
      </c>
      <c r="I289" s="42">
        <f t="shared" si="13"/>
        <v>53209.329999999994</v>
      </c>
      <c r="J289" s="42">
        <f t="shared" si="13"/>
        <v>66447.760000000009</v>
      </c>
      <c r="K289" s="42">
        <f t="shared" si="13"/>
        <v>0</v>
      </c>
      <c r="L289" s="41">
        <f t="shared" si="13"/>
        <v>1076546.98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20234.89</v>
      </c>
      <c r="G294" s="18">
        <v>8114.76</v>
      </c>
      <c r="H294" s="18">
        <v>2451.67</v>
      </c>
      <c r="I294" s="18">
        <v>2314.9699999999998</v>
      </c>
      <c r="J294" s="18">
        <v>439.2</v>
      </c>
      <c r="K294" s="18"/>
      <c r="L294" s="19">
        <f>SUM(F294:K294)</f>
        <v>33555.49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50050.31</v>
      </c>
      <c r="G295" s="18">
        <v>34825.129999999997</v>
      </c>
      <c r="H295" s="18"/>
      <c r="I295" s="18">
        <v>639.30999999999995</v>
      </c>
      <c r="J295" s="18">
        <v>26139.9</v>
      </c>
      <c r="K295" s="18"/>
      <c r="L295" s="19">
        <f>SUM(F295:K295)</f>
        <v>111654.65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500</v>
      </c>
      <c r="G300" s="18">
        <v>38.25</v>
      </c>
      <c r="H300" s="18">
        <v>14517.82</v>
      </c>
      <c r="I300" s="18">
        <v>6101.44</v>
      </c>
      <c r="J300" s="18"/>
      <c r="K300" s="18"/>
      <c r="L300" s="19">
        <f t="shared" si="14"/>
        <v>21157.51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2100</v>
      </c>
      <c r="I305" s="18"/>
      <c r="J305" s="18"/>
      <c r="K305" s="18"/>
      <c r="L305" s="19">
        <f t="shared" si="14"/>
        <v>2100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70785.2</v>
      </c>
      <c r="G308" s="42">
        <f t="shared" si="15"/>
        <v>42978.14</v>
      </c>
      <c r="H308" s="42">
        <f t="shared" si="15"/>
        <v>19069.489999999998</v>
      </c>
      <c r="I308" s="42">
        <f t="shared" si="15"/>
        <v>9055.7199999999993</v>
      </c>
      <c r="J308" s="42">
        <f t="shared" si="15"/>
        <v>26579.100000000002</v>
      </c>
      <c r="K308" s="42">
        <f t="shared" si="15"/>
        <v>0</v>
      </c>
      <c r="L308" s="41">
        <f t="shared" si="15"/>
        <v>168467.65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30352.34</v>
      </c>
      <c r="G313" s="18">
        <v>12172.13</v>
      </c>
      <c r="H313" s="18">
        <v>3677.51</v>
      </c>
      <c r="I313" s="18">
        <v>3472.46</v>
      </c>
      <c r="J313" s="18">
        <v>658.8</v>
      </c>
      <c r="K313" s="18"/>
      <c r="L313" s="19">
        <f>SUM(F313:K313)</f>
        <v>50333.240000000005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75075.47</v>
      </c>
      <c r="G314" s="18">
        <v>52237.69</v>
      </c>
      <c r="H314" s="18"/>
      <c r="I314" s="18">
        <v>958.96</v>
      </c>
      <c r="J314" s="18">
        <v>39209.86</v>
      </c>
      <c r="K314" s="18"/>
      <c r="L314" s="19">
        <f>SUM(F314:K314)</f>
        <v>167481.98000000001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65220.2</v>
      </c>
      <c r="G315" s="18">
        <v>27732.880000000001</v>
      </c>
      <c r="H315" s="18">
        <v>12080.76</v>
      </c>
      <c r="I315" s="18"/>
      <c r="J315" s="18">
        <v>21659.69</v>
      </c>
      <c r="K315" s="18">
        <v>4174.6099999999997</v>
      </c>
      <c r="L315" s="19">
        <f>SUM(F315:K315)</f>
        <v>130868.14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750</v>
      </c>
      <c r="G319" s="18">
        <v>57.37</v>
      </c>
      <c r="H319" s="18">
        <v>21776.73</v>
      </c>
      <c r="I319" s="18">
        <v>9152.16</v>
      </c>
      <c r="J319" s="18"/>
      <c r="K319" s="18"/>
      <c r="L319" s="19">
        <f t="shared" si="16"/>
        <v>31736.26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3150</v>
      </c>
      <c r="I324" s="18"/>
      <c r="J324" s="18"/>
      <c r="K324" s="18"/>
      <c r="L324" s="19">
        <f t="shared" si="16"/>
        <v>3150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171398.01</v>
      </c>
      <c r="G327" s="42">
        <f t="shared" si="17"/>
        <v>92200.069999999992</v>
      </c>
      <c r="H327" s="42">
        <f t="shared" si="17"/>
        <v>40685</v>
      </c>
      <c r="I327" s="42">
        <f t="shared" si="17"/>
        <v>13583.58</v>
      </c>
      <c r="J327" s="42">
        <f t="shared" si="17"/>
        <v>61528.350000000006</v>
      </c>
      <c r="K327" s="42">
        <f t="shared" si="17"/>
        <v>4174.6099999999997</v>
      </c>
      <c r="L327" s="41">
        <f t="shared" si="17"/>
        <v>383569.62000000005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59713</v>
      </c>
      <c r="G332" s="18">
        <v>31867.19</v>
      </c>
      <c r="H332" s="18">
        <v>24522.52</v>
      </c>
      <c r="I332" s="18">
        <v>5942.18</v>
      </c>
      <c r="J332" s="18"/>
      <c r="K332" s="18">
        <v>1259.3800000000001</v>
      </c>
      <c r="L332" s="19">
        <f t="shared" si="18"/>
        <v>123304.27000000002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55374.96</v>
      </c>
      <c r="G334" s="18">
        <v>36572.65</v>
      </c>
      <c r="H334" s="18">
        <v>6000</v>
      </c>
      <c r="I334" s="18"/>
      <c r="J334" s="18"/>
      <c r="K334" s="18"/>
      <c r="L334" s="19">
        <f t="shared" si="18"/>
        <v>97947.61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115087.95999999999</v>
      </c>
      <c r="G336" s="41">
        <f t="shared" si="19"/>
        <v>68439.839999999997</v>
      </c>
      <c r="H336" s="41">
        <f t="shared" si="19"/>
        <v>30522.52</v>
      </c>
      <c r="I336" s="41">
        <f t="shared" si="19"/>
        <v>5942.18</v>
      </c>
      <c r="J336" s="41">
        <f t="shared" si="19"/>
        <v>0</v>
      </c>
      <c r="K336" s="41">
        <f t="shared" si="19"/>
        <v>1259.3800000000001</v>
      </c>
      <c r="L336" s="41">
        <f t="shared" si="18"/>
        <v>221251.87999999998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894884.29999999993</v>
      </c>
      <c r="G337" s="41">
        <f t="shared" si="20"/>
        <v>483095.6</v>
      </c>
      <c r="H337" s="41">
        <f t="shared" si="20"/>
        <v>230076.22</v>
      </c>
      <c r="I337" s="41">
        <f t="shared" si="20"/>
        <v>81790.81</v>
      </c>
      <c r="J337" s="41">
        <f t="shared" si="20"/>
        <v>154555.21000000002</v>
      </c>
      <c r="K337" s="41">
        <f t="shared" si="20"/>
        <v>5433.99</v>
      </c>
      <c r="L337" s="41">
        <f t="shared" si="20"/>
        <v>1849836.13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894884.29999999993</v>
      </c>
      <c r="G351" s="41">
        <f>G337</f>
        <v>483095.6</v>
      </c>
      <c r="H351" s="41">
        <f>H337</f>
        <v>230076.22</v>
      </c>
      <c r="I351" s="41">
        <f>I337</f>
        <v>81790.81</v>
      </c>
      <c r="J351" s="41">
        <f>J337</f>
        <v>154555.21000000002</v>
      </c>
      <c r="K351" s="47">
        <f>K337+K350</f>
        <v>5433.99</v>
      </c>
      <c r="L351" s="41">
        <f>L337+L350</f>
        <v>1849836.13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158788.45000000001</v>
      </c>
      <c r="G357" s="18">
        <v>13919.92</v>
      </c>
      <c r="H357" s="18">
        <v>6427.42</v>
      </c>
      <c r="I357" s="18">
        <v>235768.86</v>
      </c>
      <c r="J357" s="18">
        <v>627.45000000000005</v>
      </c>
      <c r="K357" s="18"/>
      <c r="L357" s="13">
        <f>SUM(F357:K357)</f>
        <v>415532.10000000003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23492.07</v>
      </c>
      <c r="G358" s="18">
        <v>3504.44</v>
      </c>
      <c r="H358" s="18">
        <v>2570.9699999999998</v>
      </c>
      <c r="I358" s="18">
        <v>94307.54</v>
      </c>
      <c r="J358" s="18">
        <v>250.98</v>
      </c>
      <c r="K358" s="18"/>
      <c r="L358" s="19">
        <f>SUM(F358:K358)</f>
        <v>124125.99999999999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219288.3</v>
      </c>
      <c r="G359" s="18">
        <v>28158.01</v>
      </c>
      <c r="H359" s="18">
        <v>3856.45</v>
      </c>
      <c r="I359" s="18">
        <v>141461.32</v>
      </c>
      <c r="J359" s="18">
        <v>376.47</v>
      </c>
      <c r="K359" s="18"/>
      <c r="L359" s="19">
        <f>SUM(F359:K359)</f>
        <v>393140.55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401568.82</v>
      </c>
      <c r="G361" s="47">
        <f t="shared" si="22"/>
        <v>45582.369999999995</v>
      </c>
      <c r="H361" s="47">
        <f t="shared" si="22"/>
        <v>12854.84</v>
      </c>
      <c r="I361" s="47">
        <f t="shared" si="22"/>
        <v>471537.72</v>
      </c>
      <c r="J361" s="47">
        <f t="shared" si="22"/>
        <v>1254.9000000000001</v>
      </c>
      <c r="K361" s="47">
        <f t="shared" si="22"/>
        <v>0</v>
      </c>
      <c r="L361" s="47">
        <f t="shared" si="22"/>
        <v>932798.64999999991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215859.64</v>
      </c>
      <c r="G366" s="18">
        <v>86343.85</v>
      </c>
      <c r="H366" s="18">
        <v>129515.79</v>
      </c>
      <c r="I366" s="56">
        <f>SUM(F366:H366)</f>
        <v>431719.27999999997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19909.22</v>
      </c>
      <c r="G367" s="63">
        <v>7963.69</v>
      </c>
      <c r="H367" s="63">
        <v>11945.53</v>
      </c>
      <c r="I367" s="56">
        <f>SUM(F367:H367)</f>
        <v>39818.44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235768.86000000002</v>
      </c>
      <c r="G368" s="47">
        <f>SUM(G366:G367)</f>
        <v>94307.540000000008</v>
      </c>
      <c r="H368" s="47">
        <f>SUM(H366:H367)</f>
        <v>141461.32</v>
      </c>
      <c r="I368" s="47">
        <f>SUM(I366:I367)</f>
        <v>471537.72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270264.06</v>
      </c>
      <c r="I378" s="18"/>
      <c r="J378" s="18">
        <v>254977.61</v>
      </c>
      <c r="K378" s="18"/>
      <c r="L378" s="13">
        <f t="shared" si="23"/>
        <v>525241.66999999993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270264.06</v>
      </c>
      <c r="I381" s="41">
        <f t="shared" si="24"/>
        <v>0</v>
      </c>
      <c r="J381" s="47">
        <f t="shared" si="24"/>
        <v>254977.61</v>
      </c>
      <c r="K381" s="47">
        <f t="shared" si="24"/>
        <v>0</v>
      </c>
      <c r="L381" s="47">
        <f t="shared" si="24"/>
        <v>525241.66999999993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3529.39</v>
      </c>
      <c r="I395" s="18"/>
      <c r="J395" s="24" t="s">
        <v>289</v>
      </c>
      <c r="K395" s="24" t="s">
        <v>289</v>
      </c>
      <c r="L395" s="56">
        <f t="shared" si="26"/>
        <v>3529.39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3747.43</v>
      </c>
      <c r="I396" s="18"/>
      <c r="J396" s="24" t="s">
        <v>289</v>
      </c>
      <c r="K396" s="24" t="s">
        <v>289</v>
      </c>
      <c r="L396" s="56">
        <f t="shared" si="26"/>
        <v>3747.43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199496.19</v>
      </c>
      <c r="I399" s="18"/>
      <c r="J399" s="24" t="s">
        <v>289</v>
      </c>
      <c r="K399" s="24" t="s">
        <v>289</v>
      </c>
      <c r="L399" s="56">
        <f t="shared" si="26"/>
        <v>199496.19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206773.01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206773.01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206773.01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206773.01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8000</v>
      </c>
      <c r="I425" s="18"/>
      <c r="J425" s="18"/>
      <c r="K425" s="18"/>
      <c r="L425" s="56">
        <f t="shared" si="29"/>
        <v>8000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8000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8000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8000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8000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43934.1</v>
      </c>
      <c r="H440" s="18"/>
      <c r="I440" s="56">
        <f t="shared" si="33"/>
        <v>43934.1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1094311.6200000001</v>
      </c>
      <c r="H441" s="18"/>
      <c r="I441" s="56">
        <f t="shared" si="33"/>
        <v>1094311.6200000001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1138245.7200000002</v>
      </c>
      <c r="H445" s="13">
        <f>SUM(H438:H444)</f>
        <v>0</v>
      </c>
      <c r="I445" s="13">
        <f>SUM(I438:I444)</f>
        <v>1138245.7200000002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1138245.72</v>
      </c>
      <c r="H458" s="18"/>
      <c r="I458" s="56">
        <f t="shared" si="34"/>
        <v>1138245.72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1138245.72</v>
      </c>
      <c r="H459" s="83">
        <f>SUM(H453:H458)</f>
        <v>0</v>
      </c>
      <c r="I459" s="83">
        <f>SUM(I453:I458)</f>
        <v>1138245.72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1138245.72</v>
      </c>
      <c r="H460" s="42">
        <f>H451+H459</f>
        <v>0</v>
      </c>
      <c r="I460" s="42">
        <f>I451+I459</f>
        <v>1138245.72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1126289.2</v>
      </c>
      <c r="G464" s="18">
        <v>9697.51</v>
      </c>
      <c r="H464" s="18"/>
      <c r="I464" s="18">
        <v>1044351.45</v>
      </c>
      <c r="J464" s="18">
        <v>939472.71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43501241.299999997</v>
      </c>
      <c r="G467" s="18">
        <v>932421.76</v>
      </c>
      <c r="H467" s="18">
        <v>1849836.13</v>
      </c>
      <c r="I467" s="18">
        <v>0</v>
      </c>
      <c r="J467" s="18">
        <v>206773.01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43501241.299999997</v>
      </c>
      <c r="G469" s="53">
        <f>SUM(G467:G468)</f>
        <v>932421.76</v>
      </c>
      <c r="H469" s="53">
        <f>SUM(H467:H468)</f>
        <v>1849836.13</v>
      </c>
      <c r="I469" s="53">
        <f>SUM(I467:I468)</f>
        <v>0</v>
      </c>
      <c r="J469" s="53">
        <f>SUM(J467:J468)</f>
        <v>206773.01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42571870.289999999</v>
      </c>
      <c r="G471" s="18">
        <v>932798.65</v>
      </c>
      <c r="H471" s="18">
        <v>1849836.13</v>
      </c>
      <c r="I471" s="18">
        <v>525241.67000000004</v>
      </c>
      <c r="J471" s="18">
        <v>8000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42571870.289999999</v>
      </c>
      <c r="G473" s="53">
        <f>SUM(G471:G472)</f>
        <v>932798.65</v>
      </c>
      <c r="H473" s="53">
        <f>SUM(H471:H472)</f>
        <v>1849836.13</v>
      </c>
      <c r="I473" s="53">
        <f>SUM(I471:I472)</f>
        <v>525241.67000000004</v>
      </c>
      <c r="J473" s="53">
        <f>SUM(J471:J472)</f>
        <v>8000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2055660.2100000009</v>
      </c>
      <c r="G475" s="53">
        <f>(G464+G469)- G473</f>
        <v>9320.6199999999953</v>
      </c>
      <c r="H475" s="53">
        <f>(H464+H469)- H473</f>
        <v>0</v>
      </c>
      <c r="I475" s="53">
        <f>(I464+I469)- I473</f>
        <v>519109.77999999991</v>
      </c>
      <c r="J475" s="53">
        <f>(J464+J469)- J473</f>
        <v>1138245.72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5</v>
      </c>
      <c r="I489" s="154">
        <v>30</v>
      </c>
      <c r="J489" s="154">
        <v>30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912</v>
      </c>
      <c r="H490" s="155" t="s">
        <v>914</v>
      </c>
      <c r="I490" s="155" t="s">
        <v>916</v>
      </c>
      <c r="J490" s="155" t="s">
        <v>917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910</v>
      </c>
      <c r="H491" s="155" t="s">
        <v>915</v>
      </c>
      <c r="I491" s="155" t="s">
        <v>918</v>
      </c>
      <c r="J491" s="155" t="s">
        <v>919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2717849</v>
      </c>
      <c r="G492" s="18">
        <v>2996343</v>
      </c>
      <c r="H492" s="18">
        <v>325000</v>
      </c>
      <c r="I492" s="18">
        <v>25000000</v>
      </c>
      <c r="J492" s="18">
        <v>325508500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911</v>
      </c>
      <c r="G493" s="18" t="s">
        <v>913</v>
      </c>
      <c r="H493" s="18">
        <v>3.61</v>
      </c>
      <c r="I493" s="18">
        <v>4.3</v>
      </c>
      <c r="J493" s="18">
        <v>4.46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135000</v>
      </c>
      <c r="G494" s="18">
        <v>295000</v>
      </c>
      <c r="H494" s="18">
        <v>130000</v>
      </c>
      <c r="I494" s="18">
        <v>21912348.640000001</v>
      </c>
      <c r="J494" s="18">
        <v>29676142.899999999</v>
      </c>
      <c r="K494" s="53">
        <f>SUM(F494:J494)</f>
        <v>52148491.539999999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135000</v>
      </c>
      <c r="G496" s="18">
        <v>295000</v>
      </c>
      <c r="H496" s="18">
        <v>65000</v>
      </c>
      <c r="I496" s="18"/>
      <c r="J496" s="18"/>
      <c r="K496" s="53">
        <f t="shared" si="35"/>
        <v>495000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0</v>
      </c>
      <c r="H497" s="204">
        <v>65000</v>
      </c>
      <c r="I497" s="204">
        <v>20594964.969999999</v>
      </c>
      <c r="J497" s="204">
        <v>27787135.309999999</v>
      </c>
      <c r="K497" s="205">
        <f t="shared" si="35"/>
        <v>48447100.280000001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2346.5</v>
      </c>
      <c r="I498" s="18"/>
      <c r="J498" s="18"/>
      <c r="K498" s="53">
        <f t="shared" si="35"/>
        <v>2346.5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67346.5</v>
      </c>
      <c r="I499" s="42">
        <f>SUM(I497:I498)</f>
        <v>20594964.969999999</v>
      </c>
      <c r="J499" s="42">
        <f>SUM(J497:J498)</f>
        <v>27787135.309999999</v>
      </c>
      <c r="K499" s="42">
        <f t="shared" si="35"/>
        <v>48449446.780000001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>
        <v>65000</v>
      </c>
      <c r="I500" s="204">
        <v>1262120.8</v>
      </c>
      <c r="J500" s="204">
        <v>1800614.95</v>
      </c>
      <c r="K500" s="205">
        <f t="shared" si="35"/>
        <v>3127735.75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>
        <v>2346.5</v>
      </c>
      <c r="I501" s="18">
        <v>236078.95</v>
      </c>
      <c r="J501" s="18">
        <v>305747.55</v>
      </c>
      <c r="K501" s="53">
        <f t="shared" si="35"/>
        <v>544173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67346.5</v>
      </c>
      <c r="I502" s="42">
        <f>SUM(I500:I501)</f>
        <v>1498199.75</v>
      </c>
      <c r="J502" s="42">
        <f>SUM(J500:J501)</f>
        <v>2106362.5</v>
      </c>
      <c r="K502" s="42">
        <f t="shared" si="35"/>
        <v>3671908.75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833329</v>
      </c>
      <c r="G506" s="144">
        <v>108701</v>
      </c>
      <c r="H506" s="144">
        <v>116440</v>
      </c>
      <c r="I506" s="144">
        <v>825591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867743</v>
      </c>
      <c r="G510" s="24" t="s">
        <v>289</v>
      </c>
      <c r="H510" s="18">
        <v>867743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187000</v>
      </c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7650979.5099999998</v>
      </c>
      <c r="G512" s="24" t="s">
        <v>289</v>
      </c>
      <c r="H512" s="18">
        <v>73049254.269999996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1068920.8799999999</v>
      </c>
      <c r="G513" s="24" t="s">
        <v>289</v>
      </c>
      <c r="H513" s="18">
        <v>1063720.3899999999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67144864.049999997</v>
      </c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76919507.439999998</v>
      </c>
      <c r="G516" s="42">
        <f>SUM(G510:G515)</f>
        <v>0</v>
      </c>
      <c r="H516" s="42">
        <f>SUM(H510:H515)</f>
        <v>74980717.659999996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1364795.04</v>
      </c>
      <c r="G520" s="18">
        <v>677503.17</v>
      </c>
      <c r="H520" s="18">
        <v>291383.23</v>
      </c>
      <c r="I520" s="18">
        <v>14040.75</v>
      </c>
      <c r="J520" s="18">
        <v>44532</v>
      </c>
      <c r="K520" s="18">
        <v>505.26</v>
      </c>
      <c r="L520" s="88">
        <f>SUM(F520:K520)</f>
        <v>2392759.4499999997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464030.31</v>
      </c>
      <c r="G521" s="18">
        <v>230351.08</v>
      </c>
      <c r="H521" s="18">
        <v>99070.3</v>
      </c>
      <c r="I521" s="18">
        <v>4773.8500000000004</v>
      </c>
      <c r="J521" s="18">
        <v>15140.88</v>
      </c>
      <c r="K521" s="18">
        <v>171.8</v>
      </c>
      <c r="L521" s="88">
        <f>SUM(F521:K521)</f>
        <v>813538.22000000009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900764.72</v>
      </c>
      <c r="G522" s="18">
        <v>447152.09</v>
      </c>
      <c r="H522" s="18">
        <v>192312.93</v>
      </c>
      <c r="I522" s="18">
        <v>9266.89</v>
      </c>
      <c r="J522" s="18">
        <v>29391.119999999999</v>
      </c>
      <c r="K522" s="18">
        <v>333.48</v>
      </c>
      <c r="L522" s="88">
        <f>SUM(F522:K522)</f>
        <v>1579221.23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2729590.0700000003</v>
      </c>
      <c r="G523" s="108">
        <f t="shared" ref="G523:L523" si="36">SUM(G520:G522)</f>
        <v>1355006.34</v>
      </c>
      <c r="H523" s="108">
        <f t="shared" si="36"/>
        <v>582766.46</v>
      </c>
      <c r="I523" s="108">
        <f t="shared" si="36"/>
        <v>28081.489999999998</v>
      </c>
      <c r="J523" s="108">
        <f t="shared" si="36"/>
        <v>89064</v>
      </c>
      <c r="K523" s="108">
        <f t="shared" si="36"/>
        <v>1010.54</v>
      </c>
      <c r="L523" s="89">
        <f t="shared" si="36"/>
        <v>4785518.9000000004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639747.67000000004</v>
      </c>
      <c r="G525" s="18">
        <v>317579.61</v>
      </c>
      <c r="H525" s="18">
        <v>136585.89000000001</v>
      </c>
      <c r="I525" s="18">
        <v>6581.6</v>
      </c>
      <c r="J525" s="18">
        <v>20874.37</v>
      </c>
      <c r="K525" s="18">
        <v>236.85</v>
      </c>
      <c r="L525" s="88">
        <f>SUM(F525:K525)</f>
        <v>1121605.9900000002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217514.21</v>
      </c>
      <c r="G526" s="18">
        <v>107977.07</v>
      </c>
      <c r="H526" s="18">
        <v>46439.199999999997</v>
      </c>
      <c r="I526" s="18">
        <v>2237.7399999999998</v>
      </c>
      <c r="J526" s="18">
        <v>7097.29</v>
      </c>
      <c r="K526" s="18">
        <v>80.53</v>
      </c>
      <c r="L526" s="88">
        <f>SUM(F526:K526)</f>
        <v>381346.04000000004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422233.46</v>
      </c>
      <c r="G527" s="18">
        <v>209602.54</v>
      </c>
      <c r="H527" s="18">
        <v>90146.69</v>
      </c>
      <c r="I527" s="18">
        <v>4343.8599999999997</v>
      </c>
      <c r="J527" s="18">
        <v>13777.09</v>
      </c>
      <c r="K527" s="18">
        <v>156.32</v>
      </c>
      <c r="L527" s="88">
        <f>SUM(F527:K527)</f>
        <v>740259.95999999985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1279495.3400000001</v>
      </c>
      <c r="G528" s="89">
        <f t="shared" ref="G528:L528" si="37">SUM(G525:G527)</f>
        <v>635159.22</v>
      </c>
      <c r="H528" s="89">
        <f t="shared" si="37"/>
        <v>273171.78000000003</v>
      </c>
      <c r="I528" s="89">
        <f t="shared" si="37"/>
        <v>13163.2</v>
      </c>
      <c r="J528" s="89">
        <f t="shared" si="37"/>
        <v>41748.75</v>
      </c>
      <c r="K528" s="89">
        <f t="shared" si="37"/>
        <v>473.7</v>
      </c>
      <c r="L528" s="89">
        <f t="shared" si="37"/>
        <v>2243211.9900000002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127949.53</v>
      </c>
      <c r="G530" s="18">
        <v>63515.92</v>
      </c>
      <c r="H530" s="18">
        <v>27317.18</v>
      </c>
      <c r="I530" s="18">
        <v>1316.32</v>
      </c>
      <c r="J530" s="18">
        <v>4174.87</v>
      </c>
      <c r="K530" s="18">
        <v>47.37</v>
      </c>
      <c r="L530" s="88">
        <f>SUM(F530:K530)</f>
        <v>224321.19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43502.84</v>
      </c>
      <c r="G531" s="18">
        <v>21595.41</v>
      </c>
      <c r="H531" s="18">
        <v>9287.84</v>
      </c>
      <c r="I531" s="18">
        <v>447.55</v>
      </c>
      <c r="J531" s="18">
        <v>1419.46</v>
      </c>
      <c r="K531" s="18">
        <v>16.11</v>
      </c>
      <c r="L531" s="88">
        <f>SUM(F531:K531)</f>
        <v>76269.210000000006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84446.69</v>
      </c>
      <c r="G532" s="18">
        <v>41920.51</v>
      </c>
      <c r="H532" s="18">
        <v>18029.34</v>
      </c>
      <c r="I532" s="18">
        <v>868.77</v>
      </c>
      <c r="J532" s="18">
        <v>2755.42</v>
      </c>
      <c r="K532" s="18">
        <v>31.26</v>
      </c>
      <c r="L532" s="88">
        <f>SUM(F532:K532)</f>
        <v>148051.99000000002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255899.06</v>
      </c>
      <c r="G533" s="89">
        <f t="shared" ref="G533:L533" si="38">SUM(G530:G532)</f>
        <v>127031.84</v>
      </c>
      <c r="H533" s="89">
        <f t="shared" si="38"/>
        <v>54634.36</v>
      </c>
      <c r="I533" s="89">
        <f t="shared" si="38"/>
        <v>2632.64</v>
      </c>
      <c r="J533" s="89">
        <f t="shared" si="38"/>
        <v>8349.75</v>
      </c>
      <c r="K533" s="89">
        <f t="shared" si="38"/>
        <v>94.74</v>
      </c>
      <c r="L533" s="89">
        <f t="shared" si="38"/>
        <v>448642.39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285.39999999999998</v>
      </c>
      <c r="I535" s="18"/>
      <c r="J535" s="18"/>
      <c r="K535" s="18"/>
      <c r="L535" s="88">
        <f>SUM(F535:K535)</f>
        <v>285.39999999999998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97.04</v>
      </c>
      <c r="I536" s="18"/>
      <c r="J536" s="18"/>
      <c r="K536" s="18"/>
      <c r="L536" s="88">
        <f>SUM(F536:K536)</f>
        <v>97.04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188.36</v>
      </c>
      <c r="I537" s="18"/>
      <c r="J537" s="18"/>
      <c r="K537" s="18"/>
      <c r="L537" s="88">
        <f>SUM(F537:K537)</f>
        <v>188.36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570.79999999999995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570.79999999999995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103351.8</v>
      </c>
      <c r="G540" s="18">
        <v>15527.36</v>
      </c>
      <c r="H540" s="18">
        <v>100326.29</v>
      </c>
      <c r="I540" s="18">
        <v>501.17</v>
      </c>
      <c r="J540" s="18"/>
      <c r="K540" s="18"/>
      <c r="L540" s="88">
        <f>SUM(F540:K540)</f>
        <v>219706.62000000002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35139.61</v>
      </c>
      <c r="G541" s="18">
        <v>5279.3</v>
      </c>
      <c r="H541" s="18">
        <v>34110.94</v>
      </c>
      <c r="I541" s="18">
        <v>170.4</v>
      </c>
      <c r="J541" s="18"/>
      <c r="K541" s="18"/>
      <c r="L541" s="88">
        <f>SUM(F541:K541)</f>
        <v>74700.25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68212.19</v>
      </c>
      <c r="G542" s="18">
        <v>10248.049999999999</v>
      </c>
      <c r="H542" s="18">
        <v>66215.350000000006</v>
      </c>
      <c r="I542" s="18">
        <v>330.77</v>
      </c>
      <c r="J542" s="18"/>
      <c r="K542" s="18"/>
      <c r="L542" s="88">
        <f>SUM(F542:K542)</f>
        <v>145006.36000000002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206703.6</v>
      </c>
      <c r="G543" s="193">
        <f t="shared" ref="G543:L543" si="40">SUM(G540:G542)</f>
        <v>31054.71</v>
      </c>
      <c r="H543" s="193">
        <f t="shared" si="40"/>
        <v>200652.58</v>
      </c>
      <c r="I543" s="193">
        <f t="shared" si="40"/>
        <v>1002.34</v>
      </c>
      <c r="J543" s="193">
        <f t="shared" si="40"/>
        <v>0</v>
      </c>
      <c r="K543" s="193">
        <f t="shared" si="40"/>
        <v>0</v>
      </c>
      <c r="L543" s="193">
        <f t="shared" si="40"/>
        <v>439413.23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4471688.0699999994</v>
      </c>
      <c r="G544" s="89">
        <f t="shared" ref="G544:L544" si="41">G523+G528+G533+G538+G543</f>
        <v>2148252.11</v>
      </c>
      <c r="H544" s="89">
        <f t="shared" si="41"/>
        <v>1111795.98</v>
      </c>
      <c r="I544" s="89">
        <f t="shared" si="41"/>
        <v>44879.67</v>
      </c>
      <c r="J544" s="89">
        <f t="shared" si="41"/>
        <v>139162.5</v>
      </c>
      <c r="K544" s="89">
        <f t="shared" si="41"/>
        <v>1578.98</v>
      </c>
      <c r="L544" s="89">
        <f t="shared" si="41"/>
        <v>7917357.3100000005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2392759.4499999997</v>
      </c>
      <c r="G548" s="87">
        <f>L525</f>
        <v>1121605.9900000002</v>
      </c>
      <c r="H548" s="87">
        <f>L530</f>
        <v>224321.19</v>
      </c>
      <c r="I548" s="87">
        <f>L535</f>
        <v>285.39999999999998</v>
      </c>
      <c r="J548" s="87">
        <f>L540</f>
        <v>219706.62000000002</v>
      </c>
      <c r="K548" s="87">
        <f>SUM(F548:J548)</f>
        <v>3958678.65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813538.22000000009</v>
      </c>
      <c r="G549" s="87">
        <f>L526</f>
        <v>381346.04000000004</v>
      </c>
      <c r="H549" s="87">
        <f>L531</f>
        <v>76269.210000000006</v>
      </c>
      <c r="I549" s="87">
        <f>L536</f>
        <v>97.04</v>
      </c>
      <c r="J549" s="87">
        <f>L541</f>
        <v>74700.25</v>
      </c>
      <c r="K549" s="87">
        <f>SUM(F549:J549)</f>
        <v>1345950.7600000002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1579221.23</v>
      </c>
      <c r="G550" s="87">
        <f>L527</f>
        <v>740259.95999999985</v>
      </c>
      <c r="H550" s="87">
        <f>L532</f>
        <v>148051.99000000002</v>
      </c>
      <c r="I550" s="87">
        <f>L537</f>
        <v>188.36</v>
      </c>
      <c r="J550" s="87">
        <f>L542</f>
        <v>145006.36000000002</v>
      </c>
      <c r="K550" s="87">
        <f>SUM(F550:J550)</f>
        <v>2612727.9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4785518.9000000004</v>
      </c>
      <c r="G551" s="89">
        <f t="shared" si="42"/>
        <v>2243211.9900000002</v>
      </c>
      <c r="H551" s="89">
        <f t="shared" si="42"/>
        <v>448642.39</v>
      </c>
      <c r="I551" s="89">
        <f t="shared" si="42"/>
        <v>570.79999999999995</v>
      </c>
      <c r="J551" s="89">
        <f t="shared" si="42"/>
        <v>439413.23</v>
      </c>
      <c r="K551" s="89">
        <f t="shared" si="42"/>
        <v>7917357.3100000005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2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274"/>
      <c r="G556" s="274"/>
      <c r="H556" s="274"/>
      <c r="I556" s="274"/>
      <c r="J556" s="274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35338.75</v>
      </c>
      <c r="G561" s="18">
        <v>6443.61</v>
      </c>
      <c r="H561" s="18">
        <v>1666.22</v>
      </c>
      <c r="I561" s="18">
        <v>98</v>
      </c>
      <c r="J561" s="18">
        <v>758</v>
      </c>
      <c r="K561" s="18"/>
      <c r="L561" s="88">
        <f>SUM(F561:K561)</f>
        <v>44304.58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35338.75</v>
      </c>
      <c r="G564" s="89">
        <f t="shared" si="44"/>
        <v>6443.61</v>
      </c>
      <c r="H564" s="89">
        <f t="shared" si="44"/>
        <v>1666.22</v>
      </c>
      <c r="I564" s="89">
        <f t="shared" si="44"/>
        <v>98</v>
      </c>
      <c r="J564" s="89">
        <f t="shared" si="44"/>
        <v>758</v>
      </c>
      <c r="K564" s="89">
        <f t="shared" si="44"/>
        <v>0</v>
      </c>
      <c r="L564" s="89">
        <f t="shared" si="44"/>
        <v>44304.58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35338.75</v>
      </c>
      <c r="G570" s="89">
        <f t="shared" ref="G570:L570" si="46">G559+G564+G569</f>
        <v>6443.61</v>
      </c>
      <c r="H570" s="89">
        <f t="shared" si="46"/>
        <v>1666.22</v>
      </c>
      <c r="I570" s="89">
        <f t="shared" si="46"/>
        <v>98</v>
      </c>
      <c r="J570" s="89">
        <f t="shared" si="46"/>
        <v>758</v>
      </c>
      <c r="K570" s="89">
        <f t="shared" si="46"/>
        <v>0</v>
      </c>
      <c r="L570" s="89">
        <f t="shared" si="46"/>
        <v>44304.58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96102.17</v>
      </c>
      <c r="G578" s="18">
        <v>9190.2000000000007</v>
      </c>
      <c r="H578" s="18">
        <v>23822.23</v>
      </c>
      <c r="I578" s="87">
        <f t="shared" si="47"/>
        <v>129114.59999999999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290223.59999999998</v>
      </c>
      <c r="G581" s="18">
        <v>22925.7</v>
      </c>
      <c r="H581" s="18">
        <v>212078.49</v>
      </c>
      <c r="I581" s="87">
        <f t="shared" si="47"/>
        <v>525227.79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10066.799999999999</v>
      </c>
      <c r="I582" s="87">
        <f t="shared" si="47"/>
        <v>10066.799999999999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1212092.23</v>
      </c>
      <c r="I590" s="18">
        <v>211435.76</v>
      </c>
      <c r="J590" s="18">
        <v>261010.12</v>
      </c>
      <c r="K590" s="104">
        <f t="shared" ref="K590:K596" si="48">SUM(H590:J590)</f>
        <v>1684538.1099999999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219706.6</v>
      </c>
      <c r="I591" s="18">
        <v>74700.25</v>
      </c>
      <c r="J591" s="18">
        <v>145006.35999999999</v>
      </c>
      <c r="K591" s="104">
        <f t="shared" si="48"/>
        <v>439413.20999999996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1355.61</v>
      </c>
      <c r="I592" s="18">
        <v>236.47</v>
      </c>
      <c r="J592" s="18">
        <v>291.92</v>
      </c>
      <c r="K592" s="104">
        <f t="shared" si="48"/>
        <v>1884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42012.31</v>
      </c>
      <c r="I593" s="18">
        <v>7328.57</v>
      </c>
      <c r="J593" s="18">
        <v>9046.8700000000008</v>
      </c>
      <c r="K593" s="104">
        <f t="shared" si="48"/>
        <v>58387.75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26844.77</v>
      </c>
      <c r="I594" s="18">
        <v>4682.7700000000004</v>
      </c>
      <c r="J594" s="18">
        <v>5780.71</v>
      </c>
      <c r="K594" s="104">
        <f t="shared" si="48"/>
        <v>37308.25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1502011.5200000003</v>
      </c>
      <c r="I597" s="108">
        <f>SUM(I590:I596)</f>
        <v>298383.82</v>
      </c>
      <c r="J597" s="108">
        <f>SUM(J590:J596)</f>
        <v>421135.98</v>
      </c>
      <c r="K597" s="108">
        <f>SUM(K590:K596)</f>
        <v>2221531.3199999998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883.55</v>
      </c>
      <c r="I602" s="18"/>
      <c r="J602" s="18"/>
      <c r="K602" s="104">
        <f>SUM(H602:J602)</f>
        <v>883.55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360423.19</v>
      </c>
      <c r="I603" s="18">
        <v>162547.01999999999</v>
      </c>
      <c r="J603" s="18">
        <v>293413.03999999998</v>
      </c>
      <c r="K603" s="104">
        <f>SUM(H603:J603)</f>
        <v>816383.25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361306.74</v>
      </c>
      <c r="I604" s="108">
        <f>SUM(I601:I603)</f>
        <v>162547.01999999999</v>
      </c>
      <c r="J604" s="108">
        <f>SUM(J601:J603)</f>
        <v>293413.03999999998</v>
      </c>
      <c r="K604" s="108">
        <f>SUM(K601:K603)</f>
        <v>817266.8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15485.13</v>
      </c>
      <c r="G610" s="18">
        <v>1830.93</v>
      </c>
      <c r="H610" s="18"/>
      <c r="I610" s="18"/>
      <c r="J610" s="18"/>
      <c r="K610" s="18"/>
      <c r="L610" s="88">
        <f>SUM(F610:K610)</f>
        <v>17316.059999999998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31612.42</v>
      </c>
      <c r="G612" s="18">
        <v>5918.98</v>
      </c>
      <c r="H612" s="18"/>
      <c r="I612" s="18">
        <v>560.76</v>
      </c>
      <c r="J612" s="18"/>
      <c r="K612" s="18"/>
      <c r="L612" s="88">
        <f>SUM(F612:K612)</f>
        <v>38092.159999999996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47097.549999999996</v>
      </c>
      <c r="G613" s="108">
        <f t="shared" si="49"/>
        <v>7749.91</v>
      </c>
      <c r="H613" s="108">
        <f t="shared" si="49"/>
        <v>0</v>
      </c>
      <c r="I613" s="108">
        <f t="shared" si="49"/>
        <v>560.76</v>
      </c>
      <c r="J613" s="108">
        <f t="shared" si="49"/>
        <v>0</v>
      </c>
      <c r="K613" s="108">
        <f t="shared" si="49"/>
        <v>0</v>
      </c>
      <c r="L613" s="89">
        <f t="shared" si="49"/>
        <v>55408.219999999994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2640185.3600000003</v>
      </c>
      <c r="H616" s="109">
        <f>SUM(F51)</f>
        <v>2640185.36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90290.37</v>
      </c>
      <c r="H617" s="109">
        <f>SUM(G51)</f>
        <v>90290.37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266307.42</v>
      </c>
      <c r="H618" s="109">
        <f>SUM(H51)</f>
        <v>266307.42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589109.78</v>
      </c>
      <c r="H619" s="109">
        <f>SUM(I51)</f>
        <v>589109.78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1138245.7200000002</v>
      </c>
      <c r="H620" s="109">
        <f>SUM(J51)</f>
        <v>1138245.72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2055660.21</v>
      </c>
      <c r="H621" s="109">
        <f>F475</f>
        <v>2055660.2100000009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9320.6200000000008</v>
      </c>
      <c r="H622" s="109">
        <f>G475</f>
        <v>9320.6199999999953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519109.78</v>
      </c>
      <c r="H624" s="109">
        <f>I475</f>
        <v>519109.77999999991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1138245.72</v>
      </c>
      <c r="H625" s="109">
        <f>J475</f>
        <v>1138245.72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43501241.299999997</v>
      </c>
      <c r="H626" s="104">
        <f>SUM(F467)</f>
        <v>43501241.299999997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932421.76</v>
      </c>
      <c r="H627" s="104">
        <f>SUM(G467)</f>
        <v>932421.76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1849836.13</v>
      </c>
      <c r="H628" s="104">
        <f>SUM(H467)</f>
        <v>1849836.13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206773.01</v>
      </c>
      <c r="H630" s="104">
        <f>SUM(J467)</f>
        <v>206773.01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42571870.290000007</v>
      </c>
      <c r="H631" s="104">
        <f>SUM(F471)</f>
        <v>42571870.289999999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1849836.13</v>
      </c>
      <c r="H632" s="104">
        <f>SUM(H471)</f>
        <v>1849836.13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471537.72</v>
      </c>
      <c r="H633" s="104">
        <f>I368</f>
        <v>471537.72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932798.64999999991</v>
      </c>
      <c r="H634" s="104">
        <f>SUM(G471)</f>
        <v>932798.65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525241.66999999993</v>
      </c>
      <c r="H635" s="104">
        <f>SUM(I471)</f>
        <v>525241.67000000004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206773.01</v>
      </c>
      <c r="H636" s="164">
        <f>SUM(J467)</f>
        <v>206773.01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8000</v>
      </c>
      <c r="H637" s="164">
        <f>SUM(J471)</f>
        <v>8000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1138245.7200000002</v>
      </c>
      <c r="H639" s="104">
        <f>SUM(G460)</f>
        <v>1138245.72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1138245.7200000002</v>
      </c>
      <c r="H641" s="104">
        <f>SUM(I460)</f>
        <v>1138245.72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206773.01</v>
      </c>
      <c r="H643" s="104">
        <f>H407</f>
        <v>206773.01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206773.01</v>
      </c>
      <c r="H645" s="104">
        <f>L407</f>
        <v>206773.01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2221531.3199999998</v>
      </c>
      <c r="H646" s="104">
        <f>L207+L225+L243</f>
        <v>2221531.3200000003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817266.8</v>
      </c>
      <c r="H647" s="104">
        <f>(J256+J337)-(J254+J335)</f>
        <v>817266.80000000016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1502011.52</v>
      </c>
      <c r="H648" s="104">
        <f>H597</f>
        <v>1502011.5200000003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298383.82</v>
      </c>
      <c r="H649" s="104">
        <f>I597</f>
        <v>298383.82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421135.98</v>
      </c>
      <c r="H650" s="104">
        <f>J597</f>
        <v>421135.98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20485890.740000002</v>
      </c>
      <c r="G659" s="19">
        <f>(L228+L308+L358)</f>
        <v>6993981.6400000015</v>
      </c>
      <c r="H659" s="19">
        <f>(L246+L327+L359)</f>
        <v>13370067.130000003</v>
      </c>
      <c r="I659" s="19">
        <f>SUM(F659:H659)</f>
        <v>40849939.510000005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212780.49131939569</v>
      </c>
      <c r="G660" s="19">
        <f>(L358/IF(SUM(L357:L359)=0,1,SUM(L357:L359))*(SUM(G96:G109)))</f>
        <v>63560.892805901902</v>
      </c>
      <c r="H660" s="19">
        <f>(L359/IF(SUM(L357:L359)=0,1,SUM(L357:L359))*(SUM(G96:G109)))</f>
        <v>201314.50587470247</v>
      </c>
      <c r="I660" s="19">
        <f>SUM(F660:H660)</f>
        <v>477655.89000000007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1398015.56</v>
      </c>
      <c r="G661" s="19">
        <f>(L225+L305)-(J225+J305)</f>
        <v>256785.43</v>
      </c>
      <c r="H661" s="19">
        <f>(L243+L324)-(J243+J324)</f>
        <v>358738.41</v>
      </c>
      <c r="I661" s="19">
        <f>SUM(F661:H661)</f>
        <v>2013539.4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764948.57000000007</v>
      </c>
      <c r="G662" s="199">
        <f>SUM(G574:G586)+SUM(I601:I603)+L611</f>
        <v>194662.91999999998</v>
      </c>
      <c r="H662" s="199">
        <f>SUM(H574:H586)+SUM(J601:J603)+L612</f>
        <v>577472.72</v>
      </c>
      <c r="I662" s="19">
        <f>SUM(F662:H662)</f>
        <v>1537084.21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18110146.118680608</v>
      </c>
      <c r="G663" s="19">
        <f>G659-SUM(G660:G662)</f>
        <v>6478972.3971940996</v>
      </c>
      <c r="H663" s="19">
        <f>H659-SUM(H660:H662)</f>
        <v>12232541.494125301</v>
      </c>
      <c r="I663" s="19">
        <f>I659-SUM(I660:I662)</f>
        <v>36821660.010000005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1054.05</v>
      </c>
      <c r="G664" s="248">
        <v>382.41</v>
      </c>
      <c r="H664" s="248">
        <v>773.16</v>
      </c>
      <c r="I664" s="19">
        <f>SUM(F664:H664)</f>
        <v>2209.62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17181.490000000002</v>
      </c>
      <c r="G666" s="19">
        <f>ROUND(G663/G664,2)</f>
        <v>16942.48</v>
      </c>
      <c r="H666" s="19">
        <f>ROUND(H663/H664,2)</f>
        <v>15821.49</v>
      </c>
      <c r="I666" s="19">
        <f>ROUND(I663/I664,2)</f>
        <v>16664.25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21.64</v>
      </c>
      <c r="I669" s="19">
        <f>SUM(F669:H669)</f>
        <v>21.64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17181.490000000002</v>
      </c>
      <c r="G671" s="19">
        <f>ROUND((G663+G668)/(G664+G669),2)</f>
        <v>16942.48</v>
      </c>
      <c r="H671" s="19">
        <f>ROUND((H663+H668)/(H664+H669),2)</f>
        <v>15390.72</v>
      </c>
      <c r="I671" s="19">
        <f>ROUND((I663+I668)/(I664+I669),2)</f>
        <v>16502.63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Governor Wentworth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11182216.1</v>
      </c>
      <c r="C9" s="229">
        <f>'DOE25'!G196+'DOE25'!G214+'DOE25'!G232+'DOE25'!G275+'DOE25'!G294+'DOE25'!G313</f>
        <v>5319024.29</v>
      </c>
    </row>
    <row r="10" spans="1:3" x14ac:dyDescent="0.2">
      <c r="A10" t="s">
        <v>779</v>
      </c>
      <c r="B10" s="240">
        <v>10058403.380000001</v>
      </c>
      <c r="C10" s="240">
        <v>4784462.3499999996</v>
      </c>
    </row>
    <row r="11" spans="1:3" x14ac:dyDescent="0.2">
      <c r="A11" t="s">
        <v>780</v>
      </c>
      <c r="B11" s="240">
        <v>601603.23</v>
      </c>
      <c r="C11" s="240">
        <v>286163.51</v>
      </c>
    </row>
    <row r="12" spans="1:3" x14ac:dyDescent="0.2">
      <c r="A12" t="s">
        <v>781</v>
      </c>
      <c r="B12" s="240">
        <v>522209.49</v>
      </c>
      <c r="C12" s="240">
        <v>248398.43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11182216.100000001</v>
      </c>
      <c r="C13" s="231">
        <f>SUM(C10:C12)</f>
        <v>5319024.2899999991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4264984.4899999993</v>
      </c>
      <c r="C18" s="229">
        <f>'DOE25'!G197+'DOE25'!G215+'DOE25'!G233+'DOE25'!G276+'DOE25'!G295+'DOE25'!G314</f>
        <v>2117197.39</v>
      </c>
    </row>
    <row r="19" spans="1:3" x14ac:dyDescent="0.2">
      <c r="A19" t="s">
        <v>779</v>
      </c>
      <c r="B19" s="240">
        <v>2759444.97</v>
      </c>
      <c r="C19" s="240">
        <v>1369826.71</v>
      </c>
    </row>
    <row r="20" spans="1:3" x14ac:dyDescent="0.2">
      <c r="A20" t="s">
        <v>780</v>
      </c>
      <c r="B20" s="240">
        <v>1293143.3</v>
      </c>
      <c r="C20" s="240">
        <v>641934.25</v>
      </c>
    </row>
    <row r="21" spans="1:3" x14ac:dyDescent="0.2">
      <c r="A21" t="s">
        <v>781</v>
      </c>
      <c r="B21" s="240">
        <v>212396.22</v>
      </c>
      <c r="C21" s="240">
        <v>105436.43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4264984.49</v>
      </c>
      <c r="C22" s="231">
        <f>SUM(C19:C21)</f>
        <v>2117197.39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815528.35</v>
      </c>
      <c r="C27" s="234">
        <f>'DOE25'!G198+'DOE25'!G216+'DOE25'!G234+'DOE25'!G277+'DOE25'!G296+'DOE25'!G315</f>
        <v>367026.43</v>
      </c>
    </row>
    <row r="28" spans="1:3" x14ac:dyDescent="0.2">
      <c r="A28" t="s">
        <v>779</v>
      </c>
      <c r="B28" s="240">
        <v>538574.92000000004</v>
      </c>
      <c r="C28" s="240">
        <v>242384.25</v>
      </c>
    </row>
    <row r="29" spans="1:3" x14ac:dyDescent="0.2">
      <c r="A29" t="s">
        <v>780</v>
      </c>
      <c r="B29" s="240">
        <v>125509.81</v>
      </c>
      <c r="C29" s="240">
        <v>56485.37</v>
      </c>
    </row>
    <row r="30" spans="1:3" x14ac:dyDescent="0.2">
      <c r="A30" t="s">
        <v>781</v>
      </c>
      <c r="B30" s="240">
        <v>151443.62</v>
      </c>
      <c r="C30" s="240">
        <v>68156.81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815528.35</v>
      </c>
      <c r="C31" s="231">
        <f>SUM(C28:C30)</f>
        <v>367026.43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356157.83</v>
      </c>
      <c r="C36" s="235">
        <f>'DOE25'!G199+'DOE25'!G217+'DOE25'!G235+'DOE25'!G278+'DOE25'!G297+'DOE25'!G316</f>
        <v>53952.44</v>
      </c>
    </row>
    <row r="37" spans="1:3" x14ac:dyDescent="0.2">
      <c r="A37" t="s">
        <v>779</v>
      </c>
      <c r="B37" s="240">
        <v>165399.70000000001</v>
      </c>
      <c r="C37" s="240">
        <v>25055.51</v>
      </c>
    </row>
    <row r="38" spans="1:3" x14ac:dyDescent="0.2">
      <c r="A38" t="s">
        <v>780</v>
      </c>
      <c r="B38" s="240">
        <v>66494.67</v>
      </c>
      <c r="C38" s="240">
        <v>10072.92</v>
      </c>
    </row>
    <row r="39" spans="1:3" x14ac:dyDescent="0.2">
      <c r="A39" t="s">
        <v>781</v>
      </c>
      <c r="B39" s="240">
        <v>124263.46</v>
      </c>
      <c r="C39" s="240">
        <v>18824.009999999998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356157.83</v>
      </c>
      <c r="C40" s="231">
        <f>SUM(C37:C39)</f>
        <v>53952.44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Governor Wentworth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25515322.940000005</v>
      </c>
      <c r="D5" s="20">
        <f>SUM('DOE25'!L196:L199)+SUM('DOE25'!L214:L217)+SUM('DOE25'!L232:L235)-F5-G5</f>
        <v>25169006.760000005</v>
      </c>
      <c r="E5" s="243"/>
      <c r="F5" s="255">
        <f>SUM('DOE25'!J196:J199)+SUM('DOE25'!J214:J217)+SUM('DOE25'!J232:J235)</f>
        <v>334180.18</v>
      </c>
      <c r="G5" s="53">
        <f>SUM('DOE25'!K196:K199)+SUM('DOE25'!K214:K217)+SUM('DOE25'!K232:K235)</f>
        <v>12136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1829582.83</v>
      </c>
      <c r="D6" s="20">
        <f>'DOE25'!L201+'DOE25'!L219+'DOE25'!L237-F6-G6</f>
        <v>1822314.1800000002</v>
      </c>
      <c r="E6" s="243"/>
      <c r="F6" s="255">
        <f>'DOE25'!J201+'DOE25'!J219+'DOE25'!J237</f>
        <v>6878.65</v>
      </c>
      <c r="G6" s="53">
        <f>'DOE25'!K201+'DOE25'!K219+'DOE25'!K237</f>
        <v>390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1356266.0699999998</v>
      </c>
      <c r="D7" s="20">
        <f>'DOE25'!L202+'DOE25'!L220+'DOE25'!L238-F7-G7</f>
        <v>1287499.5299999998</v>
      </c>
      <c r="E7" s="243"/>
      <c r="F7" s="255">
        <f>'DOE25'!J202+'DOE25'!J220+'DOE25'!J238</f>
        <v>66371.83</v>
      </c>
      <c r="G7" s="53">
        <f>'DOE25'!K202+'DOE25'!K220+'DOE25'!K238</f>
        <v>2394.71</v>
      </c>
      <c r="H7" s="259"/>
    </row>
    <row r="8" spans="1:9" x14ac:dyDescent="0.2">
      <c r="A8" s="32">
        <v>2300</v>
      </c>
      <c r="B8" t="s">
        <v>802</v>
      </c>
      <c r="C8" s="245">
        <f t="shared" si="0"/>
        <v>56151.540000000037</v>
      </c>
      <c r="D8" s="243"/>
      <c r="E8" s="20">
        <f>'DOE25'!L203+'DOE25'!L221+'DOE25'!L239-F8-G8-D9-D11</f>
        <v>45245.910000000033</v>
      </c>
      <c r="F8" s="255">
        <f>'DOE25'!J203+'DOE25'!J221+'DOE25'!J239</f>
        <v>1448</v>
      </c>
      <c r="G8" s="53">
        <f>'DOE25'!K203+'DOE25'!K221+'DOE25'!K239</f>
        <v>9457.630000000001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75168.81</v>
      </c>
      <c r="D9" s="244">
        <v>75168.81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25382.68</v>
      </c>
      <c r="D10" s="243"/>
      <c r="E10" s="244">
        <v>25382.68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592090.32999999996</v>
      </c>
      <c r="D11" s="244">
        <v>592090.32999999996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2426873.35</v>
      </c>
      <c r="D12" s="20">
        <f>'DOE25'!L204+'DOE25'!L222+'DOE25'!L240-F12-G12</f>
        <v>2407471.21</v>
      </c>
      <c r="E12" s="243"/>
      <c r="F12" s="255">
        <f>'DOE25'!J204+'DOE25'!J222+'DOE25'!J240</f>
        <v>11547.369999999999</v>
      </c>
      <c r="G12" s="53">
        <f>'DOE25'!K204+'DOE25'!K222+'DOE25'!K240</f>
        <v>7854.77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368232</v>
      </c>
      <c r="D13" s="243"/>
      <c r="E13" s="20">
        <f>'DOE25'!L205+'DOE25'!L223+'DOE25'!L241-F13-G13</f>
        <v>346039.19</v>
      </c>
      <c r="F13" s="255">
        <f>'DOE25'!J205+'DOE25'!J223+'DOE25'!J241</f>
        <v>1044</v>
      </c>
      <c r="G13" s="53">
        <f>'DOE25'!K205+'DOE25'!K223+'DOE25'!K241</f>
        <v>21148.81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3847337.42</v>
      </c>
      <c r="D14" s="20">
        <f>'DOE25'!L206+'DOE25'!L224+'DOE25'!L242-F14-G14</f>
        <v>3824587.78</v>
      </c>
      <c r="E14" s="243"/>
      <c r="F14" s="255">
        <f>'DOE25'!J206+'DOE25'!J224+'DOE25'!J242</f>
        <v>22749.64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2221531.3200000003</v>
      </c>
      <c r="D15" s="20">
        <f>'DOE25'!L207+'DOE25'!L225+'DOE25'!L243-F15-G15</f>
        <v>2003039.4000000004</v>
      </c>
      <c r="E15" s="243"/>
      <c r="F15" s="255">
        <f>'DOE25'!J207+'DOE25'!J225+'DOE25'!J243</f>
        <v>218491.92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12191.4</v>
      </c>
      <c r="D17" s="20">
        <f>'DOE25'!L250-F17-G17</f>
        <v>12191.4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6981.62</v>
      </c>
      <c r="D19" s="20">
        <f>'DOE25'!L252-F19-G19</f>
        <v>6981.62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149967.59</v>
      </c>
      <c r="D22" s="243"/>
      <c r="E22" s="243"/>
      <c r="F22" s="255">
        <f>'DOE25'!L254+'DOE25'!L335</f>
        <v>149967.59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4114173.07</v>
      </c>
      <c r="D25" s="243"/>
      <c r="E25" s="243"/>
      <c r="F25" s="258"/>
      <c r="G25" s="256"/>
      <c r="H25" s="257">
        <f>'DOE25'!L259+'DOE25'!L260+'DOE25'!L340+'DOE25'!L341</f>
        <v>4114173.07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501079.36999999994</v>
      </c>
      <c r="D29" s="20">
        <f>'DOE25'!L357+'DOE25'!L358+'DOE25'!L359-'DOE25'!I366-F29-G29</f>
        <v>499824.46999999991</v>
      </c>
      <c r="E29" s="243"/>
      <c r="F29" s="255">
        <f>'DOE25'!J357+'DOE25'!J358+'DOE25'!J359</f>
        <v>1254.9000000000001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1849836.1300000001</v>
      </c>
      <c r="D31" s="20">
        <f>'DOE25'!L289+'DOE25'!L308+'DOE25'!L327+'DOE25'!L332+'DOE25'!L333+'DOE25'!L334-F31-G31</f>
        <v>1689846.9300000002</v>
      </c>
      <c r="E31" s="243"/>
      <c r="F31" s="255">
        <f>'DOE25'!J289+'DOE25'!J308+'DOE25'!J327+'DOE25'!J332+'DOE25'!J333+'DOE25'!J334</f>
        <v>154555.21000000002</v>
      </c>
      <c r="G31" s="53">
        <f>'DOE25'!K289+'DOE25'!K308+'DOE25'!K327+'DOE25'!K332+'DOE25'!K333+'DOE25'!K334</f>
        <v>5433.99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39390022.419999994</v>
      </c>
      <c r="E33" s="246">
        <f>SUM(E5:E31)</f>
        <v>416667.78</v>
      </c>
      <c r="F33" s="246">
        <f>SUM(F5:F31)</f>
        <v>968489.29</v>
      </c>
      <c r="G33" s="246">
        <f>SUM(G5:G31)</f>
        <v>58815.909999999996</v>
      </c>
      <c r="H33" s="246">
        <f>SUM(H5:H31)</f>
        <v>4114173.07</v>
      </c>
    </row>
    <row r="35" spans="2:8" ht="12" thickBot="1" x14ac:dyDescent="0.25">
      <c r="B35" s="253" t="s">
        <v>847</v>
      </c>
      <c r="D35" s="254">
        <f>E33</f>
        <v>416667.78</v>
      </c>
      <c r="E35" s="249"/>
    </row>
    <row r="36" spans="2:8" ht="12" thickTop="1" x14ac:dyDescent="0.2">
      <c r="B36" t="s">
        <v>815</v>
      </c>
      <c r="D36" s="20">
        <f>D33</f>
        <v>39390022.419999994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9" activePane="bottomLeft" state="frozen"/>
      <selection pane="bottomLeft" activeCell="F1" sqref="F1:F104857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1372021.83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589109.78</v>
      </c>
      <c r="G11" s="95">
        <f>'DOE25'!J12</f>
        <v>43934.1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1262205.03</v>
      </c>
      <c r="D12" s="95">
        <f>'DOE25'!G13</f>
        <v>90290.37</v>
      </c>
      <c r="E12" s="95">
        <f>'DOE25'!H13</f>
        <v>266307.42</v>
      </c>
      <c r="F12" s="95">
        <f>'DOE25'!I13</f>
        <v>0</v>
      </c>
      <c r="G12" s="95">
        <f>'DOE25'!J13</f>
        <v>1094311.6200000001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5948.5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2640185.3600000003</v>
      </c>
      <c r="D18" s="41">
        <f>SUM(D8:D17)</f>
        <v>90290.37</v>
      </c>
      <c r="E18" s="41">
        <f>SUM(E8:E17)</f>
        <v>266307.42</v>
      </c>
      <c r="F18" s="41">
        <f>SUM(F8:F17)</f>
        <v>589109.78</v>
      </c>
      <c r="G18" s="41">
        <f>SUM(G8:G17)</f>
        <v>1138245.7200000002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351323.4</v>
      </c>
      <c r="D21" s="95">
        <f>'DOE25'!G22</f>
        <v>53565.42</v>
      </c>
      <c r="E21" s="95">
        <f>'DOE25'!H22</f>
        <v>231414.78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70000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230544.86</v>
      </c>
      <c r="D27" s="95">
        <f>'DOE25'!G28</f>
        <v>13331.33</v>
      </c>
      <c r="E27" s="95">
        <f>'DOE25'!H28</f>
        <v>18436.310000000001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2656.89</v>
      </c>
      <c r="D29" s="95">
        <f>'DOE25'!G30</f>
        <v>14073</v>
      </c>
      <c r="E29" s="95">
        <f>'DOE25'!H30</f>
        <v>16456.330000000002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584525.15</v>
      </c>
      <c r="D31" s="41">
        <f>SUM(D21:D30)</f>
        <v>80969.75</v>
      </c>
      <c r="E31" s="41">
        <f>SUM(E21:E30)</f>
        <v>266307.42</v>
      </c>
      <c r="F31" s="41">
        <f>SUM(F21:F30)</f>
        <v>70000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9320.6200000000008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519109.78</v>
      </c>
      <c r="G46" s="95">
        <f>'DOE25'!J47</f>
        <v>1138245.72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63694.67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1931965.54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2055660.21</v>
      </c>
      <c r="D49" s="41">
        <f>SUM(D34:D48)</f>
        <v>9320.6200000000008</v>
      </c>
      <c r="E49" s="41">
        <f>SUM(E34:E48)</f>
        <v>0</v>
      </c>
      <c r="F49" s="41">
        <f>SUM(F34:F48)</f>
        <v>519109.78</v>
      </c>
      <c r="G49" s="41">
        <f>SUM(G34:G48)</f>
        <v>1138245.72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2640185.36</v>
      </c>
      <c r="D50" s="41">
        <f>D49+D31</f>
        <v>90290.37</v>
      </c>
      <c r="E50" s="41">
        <f>E49+E31</f>
        <v>266307.42</v>
      </c>
      <c r="F50" s="41">
        <f>F49+F31</f>
        <v>589109.78</v>
      </c>
      <c r="G50" s="41">
        <f>G49+G31</f>
        <v>1138245.72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25398883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666597.81999999995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1273.54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206773.01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477655.89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396777.33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1064648.69</v>
      </c>
      <c r="D61" s="130">
        <f>SUM(D56:D60)</f>
        <v>477655.89</v>
      </c>
      <c r="E61" s="130">
        <f>SUM(E56:E60)</f>
        <v>0</v>
      </c>
      <c r="F61" s="130">
        <f>SUM(F56:F60)</f>
        <v>0</v>
      </c>
      <c r="G61" s="130">
        <f>SUM(G56:G60)</f>
        <v>206773.01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26463531.690000001</v>
      </c>
      <c r="D62" s="22">
        <f>D55+D61</f>
        <v>477655.89</v>
      </c>
      <c r="E62" s="22">
        <f>E55+E61</f>
        <v>0</v>
      </c>
      <c r="F62" s="22">
        <f>F55+F61</f>
        <v>0</v>
      </c>
      <c r="G62" s="22">
        <f>G55+G61</f>
        <v>206773.01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4019799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10556641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14576440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2031555.85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215632.6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214081.16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11505.91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2461269.6100000003</v>
      </c>
      <c r="D77" s="130">
        <f>SUM(D71:D76)</f>
        <v>11505.91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17037709.609999999</v>
      </c>
      <c r="D80" s="130">
        <f>SUM(D78:D79)+D77+D69</f>
        <v>11505.91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443259.96</v>
      </c>
      <c r="E87" s="95">
        <f>SUM('DOE25'!H152:H160)</f>
        <v>1849836.13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443259.96</v>
      </c>
      <c r="E90" s="131">
        <f>SUM(E84:E89)</f>
        <v>1849836.13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43501241.299999997</v>
      </c>
      <c r="D103" s="86">
        <f>D62+D80+D90+D102</f>
        <v>932421.76</v>
      </c>
      <c r="E103" s="86">
        <f>E62+E80+E90+E102</f>
        <v>1849836.13</v>
      </c>
      <c r="F103" s="86">
        <f>F62+F80+F90+F102</f>
        <v>0</v>
      </c>
      <c r="G103" s="86">
        <f>G62+G80+G102</f>
        <v>206773.01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16857862.07</v>
      </c>
      <c r="D108" s="24" t="s">
        <v>289</v>
      </c>
      <c r="E108" s="95">
        <f>('DOE25'!L275)+('DOE25'!L294)+('DOE25'!L313)</f>
        <v>823155.29999999993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6919670.8300000001</v>
      </c>
      <c r="D109" s="24" t="s">
        <v>289</v>
      </c>
      <c r="E109" s="95">
        <f>('DOE25'!L276)+('DOE25'!L295)+('DOE25'!L314)</f>
        <v>558273.2699999999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1146662.2</v>
      </c>
      <c r="D110" s="24" t="s">
        <v>289</v>
      </c>
      <c r="E110" s="95">
        <f>('DOE25'!L277)+('DOE25'!L296)+('DOE25'!L315)</f>
        <v>130868.14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591127.84000000008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19173.02</v>
      </c>
      <c r="D113" s="24" t="s">
        <v>289</v>
      </c>
      <c r="E113" s="95">
        <f>+ SUM('DOE25'!L332:L334)</f>
        <v>221251.88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25534495.959999997</v>
      </c>
      <c r="D114" s="86">
        <f>SUM(D108:D113)</f>
        <v>0</v>
      </c>
      <c r="E114" s="86">
        <f>SUM(E108:E113)</f>
        <v>1733548.5899999999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1829582.83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1356266.0699999998</v>
      </c>
      <c r="D118" s="24" t="s">
        <v>289</v>
      </c>
      <c r="E118" s="95">
        <f>+('DOE25'!L281)+('DOE25'!L300)+('DOE25'!L319)</f>
        <v>105787.54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723410.68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2426873.35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368232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3847337.42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2221531.3200000003</v>
      </c>
      <c r="D123" s="24" t="s">
        <v>289</v>
      </c>
      <c r="E123" s="95">
        <f>+('DOE25'!L286)+('DOE25'!L305)+('DOE25'!L324)</f>
        <v>10500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932798.64999999991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12773233.67</v>
      </c>
      <c r="D127" s="86">
        <f>SUM(D117:D126)</f>
        <v>932798.64999999991</v>
      </c>
      <c r="E127" s="86">
        <f>SUM(E117:E126)</f>
        <v>116287.54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149967.59</v>
      </c>
      <c r="D129" s="24" t="s">
        <v>289</v>
      </c>
      <c r="E129" s="129">
        <f>'DOE25'!L335</f>
        <v>0</v>
      </c>
      <c r="F129" s="129">
        <f>SUM('DOE25'!L373:'DOE25'!L379)</f>
        <v>525241.66999999993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3701391.26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412781.81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206773.01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-206773.01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4264140.6599999992</v>
      </c>
      <c r="D143" s="141">
        <f>SUM(D129:D142)</f>
        <v>0</v>
      </c>
      <c r="E143" s="141">
        <f>SUM(E129:E142)</f>
        <v>0</v>
      </c>
      <c r="F143" s="141">
        <f>SUM(F129:F142)</f>
        <v>525241.66999999993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42571870.289999992</v>
      </c>
      <c r="D144" s="86">
        <f>(D114+D127+D143)</f>
        <v>932798.64999999991</v>
      </c>
      <c r="E144" s="86">
        <f>(E114+E127+E143)</f>
        <v>1849836.13</v>
      </c>
      <c r="F144" s="86">
        <f>(F114+F127+F143)</f>
        <v>525241.66999999993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5</v>
      </c>
      <c r="E150" s="153">
        <f>'DOE25'!I489</f>
        <v>30</v>
      </c>
      <c r="F150" s="153">
        <f>'DOE25'!J489</f>
        <v>30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08/92</v>
      </c>
      <c r="C151" s="152" t="str">
        <f>'DOE25'!G490</f>
        <v>08/02</v>
      </c>
      <c r="D151" s="152" t="str">
        <f>'DOE25'!H490</f>
        <v>06/09</v>
      </c>
      <c r="E151" s="152" t="str">
        <f>'DOE25'!I490</f>
        <v>07/09</v>
      </c>
      <c r="F151" s="152" t="str">
        <f>'DOE25'!J490</f>
        <v>07/10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08/12</v>
      </c>
      <c r="C152" s="152" t="str">
        <f>'DOE25'!G491</f>
        <v>08/12</v>
      </c>
      <c r="D152" s="152" t="str">
        <f>'DOE25'!H491</f>
        <v>06/14</v>
      </c>
      <c r="E152" s="152" t="str">
        <f>'DOE25'!I491</f>
        <v>07/39</v>
      </c>
      <c r="F152" s="152" t="str">
        <f>'DOE25'!J491</f>
        <v>08/40</v>
      </c>
      <c r="G152" s="24" t="s">
        <v>289</v>
      </c>
    </row>
    <row r="153" spans="1:9" x14ac:dyDescent="0.2">
      <c r="A153" s="136" t="s">
        <v>30</v>
      </c>
      <c r="B153" s="137">
        <f>'DOE25'!F492</f>
        <v>2717849</v>
      </c>
      <c r="C153" s="137">
        <f>'DOE25'!G492</f>
        <v>2996343</v>
      </c>
      <c r="D153" s="137">
        <f>'DOE25'!H492</f>
        <v>325000</v>
      </c>
      <c r="E153" s="137">
        <f>'DOE25'!I492</f>
        <v>25000000</v>
      </c>
      <c r="F153" s="137">
        <f>'DOE25'!J492</f>
        <v>325508500</v>
      </c>
      <c r="G153" s="24" t="s">
        <v>289</v>
      </c>
    </row>
    <row r="154" spans="1:9" x14ac:dyDescent="0.2">
      <c r="A154" s="136" t="s">
        <v>31</v>
      </c>
      <c r="B154" s="137" t="str">
        <f>'DOE25'!F493</f>
        <v>"5.3-6.2</v>
      </c>
      <c r="C154" s="137" t="str">
        <f>'DOE25'!G493</f>
        <v>"3.0-4.0</v>
      </c>
      <c r="D154" s="137">
        <f>'DOE25'!H493</f>
        <v>3.61</v>
      </c>
      <c r="E154" s="137">
        <f>'DOE25'!I493</f>
        <v>4.3</v>
      </c>
      <c r="F154" s="137">
        <f>'DOE25'!J493</f>
        <v>4.46</v>
      </c>
      <c r="G154" s="24" t="s">
        <v>289</v>
      </c>
    </row>
    <row r="155" spans="1:9" x14ac:dyDescent="0.2">
      <c r="A155" s="22" t="s">
        <v>32</v>
      </c>
      <c r="B155" s="137">
        <f>'DOE25'!F494</f>
        <v>135000</v>
      </c>
      <c r="C155" s="137">
        <f>'DOE25'!G494</f>
        <v>295000</v>
      </c>
      <c r="D155" s="137">
        <f>'DOE25'!H494</f>
        <v>130000</v>
      </c>
      <c r="E155" s="137">
        <f>'DOE25'!I494</f>
        <v>21912348.640000001</v>
      </c>
      <c r="F155" s="137">
        <f>'DOE25'!J494</f>
        <v>29676142.899999999</v>
      </c>
      <c r="G155" s="138">
        <f>SUM(B155:F155)</f>
        <v>52148491.539999999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135000</v>
      </c>
      <c r="C157" s="137">
        <f>'DOE25'!G496</f>
        <v>295000</v>
      </c>
      <c r="D157" s="137">
        <f>'DOE25'!H496</f>
        <v>65000</v>
      </c>
      <c r="E157" s="137">
        <f>'DOE25'!I496</f>
        <v>0</v>
      </c>
      <c r="F157" s="137">
        <f>'DOE25'!J496</f>
        <v>0</v>
      </c>
      <c r="G157" s="138">
        <f t="shared" si="0"/>
        <v>495000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65000</v>
      </c>
      <c r="E158" s="137">
        <f>'DOE25'!I497</f>
        <v>20594964.969999999</v>
      </c>
      <c r="F158" s="137">
        <f>'DOE25'!J497</f>
        <v>27787135.309999999</v>
      </c>
      <c r="G158" s="138">
        <f t="shared" si="0"/>
        <v>48447100.280000001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2346.5</v>
      </c>
      <c r="E159" s="137">
        <f>'DOE25'!I498</f>
        <v>0</v>
      </c>
      <c r="F159" s="137">
        <f>'DOE25'!J498</f>
        <v>0</v>
      </c>
      <c r="G159" s="138">
        <f t="shared" si="0"/>
        <v>2346.5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67346.5</v>
      </c>
      <c r="E160" s="137">
        <f>'DOE25'!I499</f>
        <v>20594964.969999999</v>
      </c>
      <c r="F160" s="137">
        <f>'DOE25'!J499</f>
        <v>27787135.309999999</v>
      </c>
      <c r="G160" s="138">
        <f t="shared" si="0"/>
        <v>48449446.780000001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65000</v>
      </c>
      <c r="E161" s="137">
        <f>'DOE25'!I500</f>
        <v>1262120.8</v>
      </c>
      <c r="F161" s="137">
        <f>'DOE25'!J500</f>
        <v>1800614.95</v>
      </c>
      <c r="G161" s="138">
        <f t="shared" si="0"/>
        <v>3127735.75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2346.5</v>
      </c>
      <c r="E162" s="137">
        <f>'DOE25'!I501</f>
        <v>236078.95</v>
      </c>
      <c r="F162" s="137">
        <f>'DOE25'!J501</f>
        <v>305747.55</v>
      </c>
      <c r="G162" s="138">
        <f t="shared" si="0"/>
        <v>544173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67346.5</v>
      </c>
      <c r="E163" s="137">
        <f>'DOE25'!I502</f>
        <v>1498199.75</v>
      </c>
      <c r="F163" s="137">
        <f>'DOE25'!J502</f>
        <v>2106362.5</v>
      </c>
      <c r="G163" s="138">
        <f t="shared" si="0"/>
        <v>3671908.75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A37" sqref="A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Governor Wentworth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17181</v>
      </c>
    </row>
    <row r="5" spans="1:4" x14ac:dyDescent="0.2">
      <c r="B5" t="s">
        <v>704</v>
      </c>
      <c r="C5" s="179">
        <f>IF('DOE25'!G664+'DOE25'!G669=0,0,ROUND('DOE25'!G671,0))</f>
        <v>16942</v>
      </c>
    </row>
    <row r="6" spans="1:4" x14ac:dyDescent="0.2">
      <c r="B6" t="s">
        <v>62</v>
      </c>
      <c r="C6" s="179">
        <f>IF('DOE25'!H664+'DOE25'!H669=0,0,ROUND('DOE25'!H671,0))</f>
        <v>15391</v>
      </c>
    </row>
    <row r="7" spans="1:4" x14ac:dyDescent="0.2">
      <c r="B7" t="s">
        <v>705</v>
      </c>
      <c r="C7" s="179">
        <f>IF('DOE25'!I664+'DOE25'!I669=0,0,ROUND('DOE25'!I671,0))</f>
        <v>16503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17681017</v>
      </c>
      <c r="D10" s="182">
        <f>ROUND((C10/$C$28)*100,1)</f>
        <v>43.1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7477944</v>
      </c>
      <c r="D11" s="182">
        <f>ROUND((C11/$C$28)*100,1)</f>
        <v>18.2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1277530</v>
      </c>
      <c r="D12" s="182">
        <f>ROUND((C12/$C$28)*100,1)</f>
        <v>3.1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591128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1829583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1462054</v>
      </c>
      <c r="D16" s="182">
        <f t="shared" si="0"/>
        <v>3.6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723411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2426873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368232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3847337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2232031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240425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ROUND('DOE25'!L260+'DOE25'!L341,0)</f>
        <v>412782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455143.11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41025490.109999999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675209</v>
      </c>
    </row>
    <row r="30" spans="1:4" x14ac:dyDescent="0.2">
      <c r="B30" s="187" t="s">
        <v>729</v>
      </c>
      <c r="C30" s="180">
        <f>SUM(C28:C29)</f>
        <v>41700699.109999999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3701391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25398883</v>
      </c>
      <c r="D35" s="182">
        <f t="shared" ref="D35:D40" si="1">ROUND((C35/$C$41)*100,1)</f>
        <v>55.2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1271421.700000003</v>
      </c>
      <c r="D36" s="182">
        <f t="shared" si="1"/>
        <v>2.8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14576440</v>
      </c>
      <c r="D37" s="182">
        <f t="shared" si="1"/>
        <v>31.7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2472776</v>
      </c>
      <c r="D38" s="182">
        <f t="shared" si="1"/>
        <v>5.4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2293096</v>
      </c>
      <c r="D39" s="182">
        <f t="shared" si="1"/>
        <v>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46012616.700000003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Governor Wentworth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2013-09-17T14:08:43Z</cp:lastPrinted>
  <dcterms:created xsi:type="dcterms:W3CDTF">1997-12-04T19:04:30Z</dcterms:created>
  <dcterms:modified xsi:type="dcterms:W3CDTF">2013-12-05T18:43:05Z</dcterms:modified>
</cp:coreProperties>
</file>