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BB0A" lockStructure="1"/>
  <bookViews>
    <workbookView xWindow="900" yWindow="30" windowWidth="12735" windowHeight="648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581" i="1" l="1"/>
  <c r="F47" i="1" l="1"/>
  <c r="F49" i="1"/>
  <c r="C19" i="12" l="1"/>
  <c r="B20" i="12" l="1"/>
  <c r="B19" i="12"/>
  <c r="B21" i="12"/>
  <c r="C10" i="12"/>
  <c r="B10" i="12"/>
  <c r="B12" i="12"/>
  <c r="J206" i="1"/>
  <c r="H206" i="1"/>
  <c r="D11" i="13"/>
  <c r="F468" i="1" l="1"/>
  <c r="F12" i="1"/>
  <c r="F48" i="1"/>
  <c r="H395" i="1" l="1"/>
  <c r="H399" i="1"/>
  <c r="H397" i="1"/>
  <c r="H396" i="1"/>
  <c r="G438" i="1"/>
  <c r="H438" i="1"/>
  <c r="H590" i="1"/>
  <c r="H207" i="1"/>
  <c r="F22" i="1" l="1"/>
  <c r="H47" i="1"/>
  <c r="H154" i="1"/>
  <c r="H471" i="1"/>
  <c r="H275" i="1"/>
  <c r="H281" i="1"/>
  <c r="H276" i="1"/>
  <c r="G276" i="1"/>
  <c r="F276" i="1"/>
  <c r="H160" i="1"/>
  <c r="H158" i="1"/>
  <c r="G471" i="1" l="1"/>
  <c r="F366" i="1"/>
  <c r="H357" i="1"/>
  <c r="I357" i="1"/>
  <c r="G357" i="1"/>
  <c r="G47" i="1"/>
  <c r="F520" i="1" l="1"/>
  <c r="G520" i="1"/>
  <c r="H520" i="1"/>
  <c r="I520" i="1"/>
  <c r="F530" i="1"/>
  <c r="K520" i="1"/>
  <c r="J520" i="1"/>
  <c r="H196" i="1"/>
  <c r="F498" i="1"/>
  <c r="F497" i="1"/>
  <c r="F109" i="1" l="1"/>
  <c r="F56" i="1"/>
  <c r="H197" i="1"/>
  <c r="I202" i="1" l="1"/>
  <c r="G202" i="1"/>
  <c r="I203" i="1"/>
  <c r="G203" i="1"/>
  <c r="G206" i="1"/>
  <c r="I206" i="1"/>
  <c r="F206" i="1"/>
  <c r="K204" i="1"/>
  <c r="I204" i="1"/>
  <c r="H204" i="1"/>
  <c r="G204" i="1"/>
  <c r="F204" i="1"/>
  <c r="K203" i="1"/>
  <c r="H203" i="1"/>
  <c r="F203" i="1"/>
  <c r="J202" i="1"/>
  <c r="H202" i="1"/>
  <c r="F202" i="1"/>
  <c r="H201" i="1"/>
  <c r="I201" i="1"/>
  <c r="G201" i="1"/>
  <c r="F201" i="1"/>
  <c r="K201" i="1"/>
  <c r="I197" i="1"/>
  <c r="G197" i="1"/>
  <c r="F197" i="1"/>
  <c r="J196" i="1"/>
  <c r="I196" i="1"/>
  <c r="H232" i="1"/>
  <c r="G196" i="1"/>
  <c r="F196" i="1"/>
  <c r="F28" i="1" l="1"/>
  <c r="F29" i="1" l="1"/>
  <c r="C37" i="10" l="1"/>
  <c r="F40" i="2" l="1"/>
  <c r="D39" i="2"/>
  <c r="G654" i="1"/>
  <c r="F47" i="2"/>
  <c r="E47" i="2"/>
  <c r="D47" i="2"/>
  <c r="C47" i="2"/>
  <c r="F46" i="2"/>
  <c r="F49" i="2" s="1"/>
  <c r="E46" i="2"/>
  <c r="D46" i="2"/>
  <c r="D49" i="2" s="1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67" i="2"/>
  <c r="B2" i="13"/>
  <c r="F8" i="13"/>
  <c r="G8" i="13"/>
  <c r="L203" i="1"/>
  <c r="C119" i="2" s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C109" i="2" s="1"/>
  <c r="L198" i="1"/>
  <c r="L199" i="1"/>
  <c r="L214" i="1"/>
  <c r="L215" i="1"/>
  <c r="L216" i="1"/>
  <c r="L228" i="1" s="1"/>
  <c r="L217" i="1"/>
  <c r="L232" i="1"/>
  <c r="L233" i="1"/>
  <c r="L234" i="1"/>
  <c r="L235" i="1"/>
  <c r="F6" i="13"/>
  <c r="G6" i="13"/>
  <c r="L201" i="1"/>
  <c r="C117" i="2" s="1"/>
  <c r="L219" i="1"/>
  <c r="L237" i="1"/>
  <c r="F7" i="13"/>
  <c r="G7" i="13"/>
  <c r="L202" i="1"/>
  <c r="L220" i="1"/>
  <c r="L238" i="1"/>
  <c r="F12" i="13"/>
  <c r="G12" i="13"/>
  <c r="L204" i="1"/>
  <c r="C18" i="10" s="1"/>
  <c r="L222" i="1"/>
  <c r="L240" i="1"/>
  <c r="F14" i="13"/>
  <c r="G14" i="13"/>
  <c r="L206" i="1"/>
  <c r="C20" i="10" s="1"/>
  <c r="L224" i="1"/>
  <c r="L242" i="1"/>
  <c r="F15" i="13"/>
  <c r="G15" i="13"/>
  <c r="L207" i="1"/>
  <c r="H646" i="1" s="1"/>
  <c r="L225" i="1"/>
  <c r="L243" i="1"/>
  <c r="F17" i="13"/>
  <c r="G17" i="13"/>
  <c r="L250" i="1"/>
  <c r="F18" i="13"/>
  <c r="G18" i="13"/>
  <c r="L251" i="1"/>
  <c r="F19" i="13"/>
  <c r="G19" i="13"/>
  <c r="L252" i="1"/>
  <c r="F29" i="13"/>
  <c r="D29" i="13" s="1"/>
  <c r="C29" i="13" s="1"/>
  <c r="G29" i="13"/>
  <c r="L357" i="1"/>
  <c r="H660" i="1" s="1"/>
  <c r="L358" i="1"/>
  <c r="L359" i="1"/>
  <c r="I366" i="1"/>
  <c r="J289" i="1"/>
  <c r="J308" i="1"/>
  <c r="J327" i="1"/>
  <c r="K289" i="1"/>
  <c r="K308" i="1"/>
  <c r="K327" i="1"/>
  <c r="L275" i="1"/>
  <c r="E108" i="2" s="1"/>
  <c r="L276" i="1"/>
  <c r="E109" i="2" s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C32" i="10" s="1"/>
  <c r="L260" i="1"/>
  <c r="L340" i="1"/>
  <c r="L341" i="1"/>
  <c r="L254" i="1"/>
  <c r="L335" i="1"/>
  <c r="C11" i="13"/>
  <c r="C10" i="13"/>
  <c r="C9" i="13"/>
  <c r="L360" i="1"/>
  <c r="B4" i="12"/>
  <c r="B36" i="12"/>
  <c r="A40" i="12" s="1"/>
  <c r="C36" i="12"/>
  <c r="B40" i="12"/>
  <c r="C40" i="12"/>
  <c r="B27" i="12"/>
  <c r="A31" i="12" s="1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C40" i="10"/>
  <c r="F59" i="1"/>
  <c r="C35" i="10" s="1"/>
  <c r="G59" i="1"/>
  <c r="H59" i="1"/>
  <c r="I59" i="1"/>
  <c r="F78" i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H120" i="1"/>
  <c r="H135" i="1"/>
  <c r="I120" i="1"/>
  <c r="I135" i="1"/>
  <c r="J120" i="1"/>
  <c r="J135" i="1"/>
  <c r="F146" i="1"/>
  <c r="F161" i="1"/>
  <c r="G146" i="1"/>
  <c r="G161" i="1"/>
  <c r="H146" i="1"/>
  <c r="H161" i="1"/>
  <c r="H168" i="1" s="1"/>
  <c r="I146" i="1"/>
  <c r="I161" i="1"/>
  <c r="C12" i="10"/>
  <c r="C13" i="10"/>
  <c r="C17" i="10"/>
  <c r="C19" i="10"/>
  <c r="L249" i="1"/>
  <c r="L331" i="1"/>
  <c r="C23" i="10" s="1"/>
  <c r="L253" i="1"/>
  <c r="C25" i="10"/>
  <c r="L267" i="1"/>
  <c r="L268" i="1"/>
  <c r="L348" i="1"/>
  <c r="L349" i="1"/>
  <c r="I664" i="1"/>
  <c r="I669" i="1"/>
  <c r="L246" i="1"/>
  <c r="F660" i="1"/>
  <c r="F661" i="1"/>
  <c r="G661" i="1"/>
  <c r="H661" i="1"/>
  <c r="I668" i="1"/>
  <c r="C42" i="10"/>
  <c r="L373" i="1"/>
  <c r="L374" i="1"/>
  <c r="F129" i="2" s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K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L269" i="1" s="1"/>
  <c r="J269" i="1"/>
  <c r="I269" i="1"/>
  <c r="H269" i="1"/>
  <c r="G269" i="1"/>
  <c r="F269" i="1"/>
  <c r="C131" i="2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F18" i="2" s="1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E18" i="2" s="1"/>
  <c r="F12" i="2"/>
  <c r="I441" i="1"/>
  <c r="J13" i="1" s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E31" i="2" s="1"/>
  <c r="F28" i="2"/>
  <c r="C29" i="2"/>
  <c r="D29" i="2"/>
  <c r="D31" i="2" s="1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D61" i="2" s="1"/>
  <c r="D62" i="2" s="1"/>
  <c r="C60" i="2"/>
  <c r="D60" i="2"/>
  <c r="E60" i="2"/>
  <c r="F60" i="2"/>
  <c r="C65" i="2"/>
  <c r="C66" i="2"/>
  <c r="C69" i="2" s="1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7" i="2" s="1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D90" i="2" s="1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E110" i="2"/>
  <c r="C111" i="2"/>
  <c r="E111" i="2"/>
  <c r="C112" i="2"/>
  <c r="E112" i="2"/>
  <c r="C113" i="2"/>
  <c r="E113" i="2"/>
  <c r="D114" i="2"/>
  <c r="F114" i="2"/>
  <c r="G114" i="2"/>
  <c r="E117" i="2"/>
  <c r="E118" i="2"/>
  <c r="E119" i="2"/>
  <c r="E120" i="2"/>
  <c r="C121" i="2"/>
  <c r="E121" i="2"/>
  <c r="E122" i="2"/>
  <c r="C123" i="2"/>
  <c r="E123" i="2"/>
  <c r="C124" i="2"/>
  <c r="E124" i="2"/>
  <c r="D126" i="2"/>
  <c r="D127" i="2" s="1"/>
  <c r="F127" i="2"/>
  <c r="G127" i="2"/>
  <c r="C129" i="2"/>
  <c r="E129" i="2"/>
  <c r="D133" i="2"/>
  <c r="D143" i="2" s="1"/>
  <c r="E133" i="2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G155" i="2" s="1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G159" i="2" s="1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G161" i="2" s="1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616" i="1" s="1"/>
  <c r="G19" i="1"/>
  <c r="G617" i="1" s="1"/>
  <c r="H19" i="1"/>
  <c r="G618" i="1" s="1"/>
  <c r="I19" i="1"/>
  <c r="G619" i="1" s="1"/>
  <c r="F32" i="1"/>
  <c r="G32" i="1"/>
  <c r="H32" i="1"/>
  <c r="I32" i="1"/>
  <c r="F50" i="1"/>
  <c r="F51" i="1" s="1"/>
  <c r="H616" i="1" s="1"/>
  <c r="G50" i="1"/>
  <c r="G622" i="1" s="1"/>
  <c r="H50" i="1"/>
  <c r="H51" i="1" s="1"/>
  <c r="H618" i="1" s="1"/>
  <c r="I50" i="1"/>
  <c r="G624" i="1" s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G210" i="1"/>
  <c r="G256" i="1" s="1"/>
  <c r="G270" i="1" s="1"/>
  <c r="H210" i="1"/>
  <c r="I210" i="1"/>
  <c r="I256" i="1" s="1"/>
  <c r="I270" i="1" s="1"/>
  <c r="J210" i="1"/>
  <c r="J256" i="1" s="1"/>
  <c r="J270" i="1" s="1"/>
  <c r="K210" i="1"/>
  <c r="K256" i="1" s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89" i="1"/>
  <c r="G289" i="1"/>
  <c r="H289" i="1"/>
  <c r="H337" i="1" s="1"/>
  <c r="H351" i="1" s="1"/>
  <c r="I289" i="1"/>
  <c r="F308" i="1"/>
  <c r="G308" i="1"/>
  <c r="H308" i="1"/>
  <c r="I308" i="1"/>
  <c r="F327" i="1"/>
  <c r="G327" i="1"/>
  <c r="H327" i="1"/>
  <c r="I327" i="1"/>
  <c r="F336" i="1"/>
  <c r="G336" i="1"/>
  <c r="L336" i="1" s="1"/>
  <c r="H336" i="1"/>
  <c r="I336" i="1"/>
  <c r="J336" i="1"/>
  <c r="K336" i="1"/>
  <c r="K337" i="1" s="1"/>
  <c r="K351" i="1" s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H643" i="1" s="1"/>
  <c r="J643" i="1" s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445" i="1"/>
  <c r="G639" i="1" s="1"/>
  <c r="J639" i="1" s="1"/>
  <c r="H445" i="1"/>
  <c r="F451" i="1"/>
  <c r="G451" i="1"/>
  <c r="H451" i="1"/>
  <c r="I451" i="1"/>
  <c r="F459" i="1"/>
  <c r="G459" i="1"/>
  <c r="H459" i="1"/>
  <c r="I459" i="1"/>
  <c r="F460" i="1"/>
  <c r="H638" i="1" s="1"/>
  <c r="J638" i="1" s="1"/>
  <c r="G460" i="1"/>
  <c r="H460" i="1"/>
  <c r="H640" i="1" s="1"/>
  <c r="J640" i="1" s="1"/>
  <c r="I460" i="1"/>
  <c r="I469" i="1"/>
  <c r="G473" i="1"/>
  <c r="H473" i="1"/>
  <c r="J473" i="1"/>
  <c r="K494" i="1"/>
  <c r="K495" i="1"/>
  <c r="K496" i="1"/>
  <c r="K497" i="1"/>
  <c r="K498" i="1"/>
  <c r="K500" i="1"/>
  <c r="K501" i="1"/>
  <c r="F516" i="1"/>
  <c r="G516" i="1"/>
  <c r="H516" i="1"/>
  <c r="I516" i="1"/>
  <c r="F523" i="1"/>
  <c r="G523" i="1"/>
  <c r="G544" i="1" s="1"/>
  <c r="H523" i="1"/>
  <c r="I523" i="1"/>
  <c r="J523" i="1"/>
  <c r="K523" i="1"/>
  <c r="K544" i="1" s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J650" i="1" s="1"/>
  <c r="K601" i="1"/>
  <c r="K602" i="1"/>
  <c r="I604" i="1"/>
  <c r="J604" i="1"/>
  <c r="F613" i="1"/>
  <c r="G613" i="1"/>
  <c r="H613" i="1"/>
  <c r="I613" i="1"/>
  <c r="J613" i="1"/>
  <c r="K613" i="1"/>
  <c r="L613" i="1"/>
  <c r="H629" i="1"/>
  <c r="H632" i="1"/>
  <c r="G633" i="1"/>
  <c r="H633" i="1"/>
  <c r="H634" i="1"/>
  <c r="H637" i="1"/>
  <c r="G638" i="1"/>
  <c r="H639" i="1"/>
  <c r="G640" i="1"/>
  <c r="H641" i="1"/>
  <c r="G642" i="1"/>
  <c r="H642" i="1"/>
  <c r="G643" i="1"/>
  <c r="G644" i="1"/>
  <c r="H644" i="1"/>
  <c r="G649" i="1"/>
  <c r="G650" i="1"/>
  <c r="G651" i="1"/>
  <c r="H651" i="1"/>
  <c r="G652" i="1"/>
  <c r="H652" i="1"/>
  <c r="G653" i="1"/>
  <c r="H653" i="1"/>
  <c r="H654" i="1"/>
  <c r="J654" i="1" s="1"/>
  <c r="F191" i="1"/>
  <c r="L255" i="1"/>
  <c r="G163" i="2"/>
  <c r="C26" i="10"/>
  <c r="L327" i="1"/>
  <c r="H659" i="1" s="1"/>
  <c r="L350" i="1"/>
  <c r="I661" i="1"/>
  <c r="L289" i="1"/>
  <c r="D12" i="13"/>
  <c r="C12" i="13" s="1"/>
  <c r="E49" i="2"/>
  <c r="D18" i="13"/>
  <c r="C18" i="13" s="1"/>
  <c r="F102" i="2"/>
  <c r="D18" i="2"/>
  <c r="D17" i="13"/>
  <c r="C17" i="13" s="1"/>
  <c r="G158" i="2"/>
  <c r="C90" i="2"/>
  <c r="G80" i="2"/>
  <c r="F77" i="2"/>
  <c r="F80" i="2" s="1"/>
  <c r="F61" i="2"/>
  <c r="F62" i="2" s="1"/>
  <c r="G156" i="2"/>
  <c r="G162" i="2"/>
  <c r="G160" i="2"/>
  <c r="G157" i="2"/>
  <c r="E143" i="2"/>
  <c r="G102" i="2"/>
  <c r="E102" i="2"/>
  <c r="C102" i="2"/>
  <c r="F90" i="2"/>
  <c r="E61" i="2"/>
  <c r="E62" i="2" s="1"/>
  <c r="C61" i="2"/>
  <c r="C31" i="2"/>
  <c r="G61" i="2"/>
  <c r="D19" i="13"/>
  <c r="C19" i="13" s="1"/>
  <c r="E13" i="13"/>
  <c r="C13" i="13" s="1"/>
  <c r="E77" i="2"/>
  <c r="E80" i="2" s="1"/>
  <c r="L426" i="1"/>
  <c r="H111" i="1"/>
  <c r="F111" i="1"/>
  <c r="J570" i="1"/>
  <c r="K570" i="1"/>
  <c r="L432" i="1"/>
  <c r="L418" i="1"/>
  <c r="D80" i="2"/>
  <c r="I168" i="1"/>
  <c r="G551" i="1"/>
  <c r="J642" i="1"/>
  <c r="G337" i="1"/>
  <c r="G351" i="1" s="1"/>
  <c r="F168" i="1"/>
  <c r="J139" i="1"/>
  <c r="F570" i="1"/>
  <c r="I551" i="1"/>
  <c r="K549" i="1"/>
  <c r="G22" i="2"/>
  <c r="J551" i="1"/>
  <c r="H551" i="1"/>
  <c r="H139" i="1"/>
  <c r="L392" i="1"/>
  <c r="F22" i="13"/>
  <c r="H570" i="1"/>
  <c r="L559" i="1"/>
  <c r="J544" i="1"/>
  <c r="F337" i="1"/>
  <c r="F351" i="1" s="1"/>
  <c r="G191" i="1"/>
  <c r="H191" i="1"/>
  <c r="E127" i="2"/>
  <c r="L308" i="1"/>
  <c r="E16" i="13"/>
  <c r="J644" i="1"/>
  <c r="L569" i="1"/>
  <c r="I570" i="1"/>
  <c r="G36" i="2"/>
  <c r="L564" i="1"/>
  <c r="H544" i="1"/>
  <c r="K550" i="1"/>
  <c r="C22" i="13"/>
  <c r="C137" i="2"/>
  <c r="C16" i="13"/>
  <c r="A13" i="12" l="1"/>
  <c r="C29" i="10"/>
  <c r="G621" i="1"/>
  <c r="C18" i="2"/>
  <c r="G635" i="1"/>
  <c r="I471" i="1"/>
  <c r="F31" i="2"/>
  <c r="I51" i="1"/>
  <c r="H619" i="1" s="1"/>
  <c r="J619" i="1" s="1"/>
  <c r="L400" i="1"/>
  <c r="C138" i="2" s="1"/>
  <c r="I445" i="1"/>
  <c r="G641" i="1" s="1"/>
  <c r="J641" i="1" s="1"/>
  <c r="C21" i="10"/>
  <c r="F50" i="2"/>
  <c r="E50" i="2"/>
  <c r="J337" i="1"/>
  <c r="J351" i="1" s="1"/>
  <c r="H603" i="1" s="1"/>
  <c r="E114" i="2"/>
  <c r="E144" i="2" s="1"/>
  <c r="C16" i="10"/>
  <c r="G623" i="1"/>
  <c r="J633" i="1"/>
  <c r="G660" i="1"/>
  <c r="I660" i="1" s="1"/>
  <c r="L361" i="1"/>
  <c r="D144" i="2"/>
  <c r="G51" i="1"/>
  <c r="H617" i="1" s="1"/>
  <c r="J617" i="1" s="1"/>
  <c r="I544" i="1"/>
  <c r="F551" i="1"/>
  <c r="K551" i="1"/>
  <c r="L523" i="1"/>
  <c r="L544" i="1" s="1"/>
  <c r="C10" i="10"/>
  <c r="K502" i="1"/>
  <c r="K499" i="1"/>
  <c r="H663" i="1"/>
  <c r="H666" i="1" s="1"/>
  <c r="K597" i="1"/>
  <c r="G646" i="1" s="1"/>
  <c r="J646" i="1" s="1"/>
  <c r="C62" i="2"/>
  <c r="C110" i="2"/>
  <c r="F256" i="1"/>
  <c r="F270" i="1" s="1"/>
  <c r="K270" i="1"/>
  <c r="C130" i="2"/>
  <c r="H25" i="13"/>
  <c r="G648" i="1"/>
  <c r="J648" i="1" s="1"/>
  <c r="D15" i="13"/>
  <c r="C15" i="13" s="1"/>
  <c r="D14" i="13"/>
  <c r="C14" i="13" s="1"/>
  <c r="C122" i="2"/>
  <c r="C120" i="2"/>
  <c r="E8" i="13"/>
  <c r="C8" i="13" s="1"/>
  <c r="C118" i="2"/>
  <c r="D7" i="13"/>
  <c r="C7" i="13" s="1"/>
  <c r="H256" i="1"/>
  <c r="H270" i="1" s="1"/>
  <c r="D6" i="13"/>
  <c r="C6" i="13" s="1"/>
  <c r="C15" i="10"/>
  <c r="C11" i="10"/>
  <c r="D5" i="13"/>
  <c r="C5" i="13" s="1"/>
  <c r="L210" i="1"/>
  <c r="L256" i="1" s="1"/>
  <c r="L270" i="1" s="1"/>
  <c r="C108" i="2"/>
  <c r="C114" i="2" s="1"/>
  <c r="C49" i="2"/>
  <c r="C50" i="2" s="1"/>
  <c r="J616" i="1"/>
  <c r="C80" i="2"/>
  <c r="L337" i="1"/>
  <c r="L351" i="1" s="1"/>
  <c r="G632" i="1" s="1"/>
  <c r="J632" i="1" s="1"/>
  <c r="C24" i="10"/>
  <c r="G659" i="1"/>
  <c r="G663" i="1" s="1"/>
  <c r="G666" i="1" s="1"/>
  <c r="G31" i="13"/>
  <c r="G33" i="13" s="1"/>
  <c r="I337" i="1"/>
  <c r="I351" i="1" s="1"/>
  <c r="J649" i="1"/>
  <c r="L406" i="1"/>
  <c r="C139" i="2" s="1"/>
  <c r="L570" i="1"/>
  <c r="I191" i="1"/>
  <c r="E90" i="2"/>
  <c r="D50" i="2"/>
  <c r="J653" i="1"/>
  <c r="J652" i="1"/>
  <c r="F143" i="2"/>
  <c r="F144" i="2" s="1"/>
  <c r="G21" i="2"/>
  <c r="G31" i="2" s="1"/>
  <c r="J32" i="1"/>
  <c r="L433" i="1"/>
  <c r="G637" i="1" s="1"/>
  <c r="J637" i="1" s="1"/>
  <c r="J433" i="1"/>
  <c r="F433" i="1"/>
  <c r="K433" i="1"/>
  <c r="G133" i="2" s="1"/>
  <c r="G143" i="2" s="1"/>
  <c r="G144" i="2" s="1"/>
  <c r="F31" i="13"/>
  <c r="J192" i="1"/>
  <c r="G645" i="1" s="1"/>
  <c r="F103" i="2"/>
  <c r="H192" i="1"/>
  <c r="G168" i="1"/>
  <c r="C39" i="10" s="1"/>
  <c r="G139" i="1"/>
  <c r="F139" i="1"/>
  <c r="F192" i="1" s="1"/>
  <c r="C36" i="10"/>
  <c r="G62" i="2"/>
  <c r="G103" i="2" s="1"/>
  <c r="G42" i="2"/>
  <c r="J50" i="1"/>
  <c r="G16" i="2"/>
  <c r="J19" i="1"/>
  <c r="G620" i="1" s="1"/>
  <c r="F33" i="13"/>
  <c r="D31" i="13"/>
  <c r="C31" i="13" s="1"/>
  <c r="G18" i="2"/>
  <c r="F544" i="1"/>
  <c r="H433" i="1"/>
  <c r="J618" i="1"/>
  <c r="D102" i="2"/>
  <c r="D103" i="2" s="1"/>
  <c r="I139" i="1"/>
  <c r="I192" i="1" s="1"/>
  <c r="G629" i="1" s="1"/>
  <c r="J629" i="1" s="1"/>
  <c r="A22" i="12"/>
  <c r="G49" i="2"/>
  <c r="G50" i="2" s="1"/>
  <c r="H647" i="1"/>
  <c r="C103" i="2"/>
  <c r="J651" i="1"/>
  <c r="G570" i="1"/>
  <c r="I433" i="1"/>
  <c r="G433" i="1"/>
  <c r="E103" i="2"/>
  <c r="C27" i="10"/>
  <c r="G634" i="1"/>
  <c r="J634" i="1" s="1"/>
  <c r="H635" i="1" l="1"/>
  <c r="J635" i="1" s="1"/>
  <c r="I473" i="1"/>
  <c r="I475" i="1" s="1"/>
  <c r="H624" i="1" s="1"/>
  <c r="J624" i="1" s="1"/>
  <c r="L407" i="1"/>
  <c r="H645" i="1" s="1"/>
  <c r="C140" i="2"/>
  <c r="C143" i="2" s="1"/>
  <c r="J467" i="1"/>
  <c r="G628" i="1"/>
  <c r="H467" i="1"/>
  <c r="H604" i="1"/>
  <c r="K603" i="1"/>
  <c r="K604" i="1" s="1"/>
  <c r="G647" i="1" s="1"/>
  <c r="J647" i="1" s="1"/>
  <c r="F662" i="1"/>
  <c r="I662" i="1" s="1"/>
  <c r="H671" i="1"/>
  <c r="C6" i="10" s="1"/>
  <c r="G631" i="1"/>
  <c r="F471" i="1"/>
  <c r="G626" i="1"/>
  <c r="F467" i="1"/>
  <c r="G671" i="1"/>
  <c r="C5" i="10" s="1"/>
  <c r="C25" i="13"/>
  <c r="H33" i="13"/>
  <c r="C127" i="2"/>
  <c r="E33" i="13"/>
  <c r="D35" i="13" s="1"/>
  <c r="F659" i="1"/>
  <c r="C28" i="10"/>
  <c r="D19" i="10" s="1"/>
  <c r="G630" i="1"/>
  <c r="D33" i="13"/>
  <c r="D36" i="13" s="1"/>
  <c r="J645" i="1"/>
  <c r="G192" i="1"/>
  <c r="G625" i="1"/>
  <c r="J51" i="1"/>
  <c r="H620" i="1" s="1"/>
  <c r="J620" i="1" s="1"/>
  <c r="C38" i="10"/>
  <c r="C144" i="2" l="1"/>
  <c r="G636" i="1"/>
  <c r="H630" i="1"/>
  <c r="J630" i="1" s="1"/>
  <c r="J469" i="1"/>
  <c r="J475" i="1" s="1"/>
  <c r="H625" i="1" s="1"/>
  <c r="J625" i="1" s="1"/>
  <c r="H636" i="1"/>
  <c r="H469" i="1"/>
  <c r="H475" i="1" s="1"/>
  <c r="H623" i="1" s="1"/>
  <c r="J623" i="1" s="1"/>
  <c r="H628" i="1"/>
  <c r="J628" i="1" s="1"/>
  <c r="F663" i="1"/>
  <c r="F666" i="1" s="1"/>
  <c r="G627" i="1"/>
  <c r="G467" i="1"/>
  <c r="F473" i="1"/>
  <c r="H631" i="1"/>
  <c r="J631" i="1" s="1"/>
  <c r="F469" i="1"/>
  <c r="H626" i="1"/>
  <c r="J626" i="1" s="1"/>
  <c r="D10" i="10"/>
  <c r="C30" i="10"/>
  <c r="I659" i="1"/>
  <c r="I663" i="1" s="1"/>
  <c r="I671" i="1" s="1"/>
  <c r="C7" i="10" s="1"/>
  <c r="D27" i="10"/>
  <c r="D17" i="10"/>
  <c r="D18" i="10"/>
  <c r="D16" i="10"/>
  <c r="D26" i="10"/>
  <c r="D22" i="10"/>
  <c r="D20" i="10"/>
  <c r="D15" i="10"/>
  <c r="D21" i="10"/>
  <c r="D24" i="10"/>
  <c r="D13" i="10"/>
  <c r="D11" i="10"/>
  <c r="D12" i="10"/>
  <c r="D23" i="10"/>
  <c r="D25" i="10"/>
  <c r="I666" i="1"/>
  <c r="C41" i="10"/>
  <c r="D38" i="10" s="1"/>
  <c r="F671" i="1" l="1"/>
  <c r="C4" i="10" s="1"/>
  <c r="J636" i="1"/>
  <c r="H627" i="1"/>
  <c r="J627" i="1" s="1"/>
  <c r="G469" i="1"/>
  <c r="G475" i="1" s="1"/>
  <c r="H622" i="1" s="1"/>
  <c r="J622" i="1" s="1"/>
  <c r="F475" i="1"/>
  <c r="H621" i="1" s="1"/>
  <c r="J621" i="1" s="1"/>
  <c r="D28" i="10"/>
  <c r="D37" i="10"/>
  <c r="D36" i="10"/>
  <c r="D35" i="10"/>
  <c r="D40" i="10"/>
  <c r="D39" i="10"/>
  <c r="H655" i="1" l="1"/>
  <c r="D41" i="10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<sst xmlns="http://schemas.openxmlformats.org/spreadsheetml/2006/main" count="3946" uniqueCount="912">
  <si>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</si>
  <si>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</si>
  <si>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</si>
  <si>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</si>
  <si>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</si>
  <si>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</si>
  <si>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</si>
  <si>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</si>
  <si>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</si>
  <si>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</si>
  <si>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</si>
  <si>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</si>
  <si>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</si>
  <si>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</si>
  <si>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</si>
  <si>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</si>
  <si>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</si>
  <si>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</si>
  <si>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</si>
  <si>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</si>
  <si>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</si>
  <si>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</si>
  <si>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</si>
  <si>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</si>
  <si>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</si>
  <si>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</si>
  <si>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</si>
  <si>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</si>
  <si>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</si>
  <si>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</si>
  <si>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</si>
  <si>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</si>
  <si>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</si>
  <si>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</si>
  <si>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</si>
  <si>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</si>
  <si>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</si>
  <si>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</si>
  <si>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</si>
  <si>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</si>
  <si>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</si>
  <si>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</si>
  <si>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</si>
  <si>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</si>
  <si>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</si>
  <si>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</si>
  <si>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</si>
  <si>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</si>
  <si>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</si>
  <si>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</si>
  <si>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</si>
  <si>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</si>
  <si>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</si>
  <si>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</si>
  <si>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</si>
  <si>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</si>
  <si>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</si>
  <si>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</si>
  <si>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</si>
  <si>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</si>
  <si>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</si>
  <si>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</si>
  <si>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</si>
  <si>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</si>
  <si>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</si>
  <si>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</si>
  <si>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</si>
  <si>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</si>
  <si>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</si>
  <si>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</si>
  <si>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</si>
  <si>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</si>
  <si>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</si>
  <si>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</si>
  <si>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</si>
  <si>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</si>
  <si>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</si>
  <si>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</si>
  <si>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</si>
  <si>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</si>
  <si>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</si>
  <si>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</si>
  <si>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</si>
  <si>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</si>
  <si>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</si>
  <si>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</si>
  <si>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</si>
  <si>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</si>
  <si>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</si>
  <si>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</si>
  <si>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</si>
  <si>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</si>
  <si>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</si>
  <si>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</si>
  <si>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</si>
  <si>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</si>
  <si>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</si>
  <si>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</si>
  <si>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</si>
  <si>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</si>
  <si>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</si>
  <si>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</si>
  <si>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</si>
  <si>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</si>
  <si>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</si>
  <si>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</si>
  <si>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</si>
  <si>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</si>
  <si>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</si>
  <si>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</si>
  <si>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</si>
  <si>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</si>
  <si>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</si>
  <si>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</si>
  <si>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</si>
  <si>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</si>
  <si>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</si>
  <si>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</si>
  <si>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</si>
  <si>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</si>
  <si>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</si>
  <si>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</si>
  <si>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</si>
  <si>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</si>
  <si>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</si>
  <si>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</si>
  <si>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</si>
  <si>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</si>
  <si>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</si>
  <si>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</si>
  <si>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</si>
  <si>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</si>
  <si>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</si>
  <si>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</si>
  <si>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</si>
  <si>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</si>
  <si>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</si>
  <si>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</si>
  <si>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</si>
  <si>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</si>
  <si>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</si>
  <si>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</si>
  <si>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</si>
  <si>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</si>
  <si>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</si>
  <si>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</si>
  <si>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</si>
  <si>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</si>
  <si>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</si>
  <si>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</si>
  <si>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</si>
  <si>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</si>
  <si>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</si>
  <si>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</si>
  <si>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</si>
  <si>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</si>
  <si>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</si>
  <si>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</si>
  <si>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</si>
  <si>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</si>
  <si>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</si>
  <si>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</si>
  <si>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</si>
  <si>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</si>
  <si>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</si>
  <si>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</si>
  <si>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</si>
  <si>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</si>
  <si>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</si>
  <si>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</si>
  <si>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</si>
  <si>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</si>
  <si>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</si>
  <si>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</si>
  <si>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</si>
  <si>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</si>
  <si>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</si>
  <si>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</si>
  <si>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</si>
  <si>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</si>
  <si>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</si>
  <si>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</si>
  <si>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</si>
  <si>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</si>
  <si>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</si>
  <si>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</si>
  <si>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</si>
  <si>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</si>
  <si>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</si>
  <si>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</si>
  <si>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</si>
  <si>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</si>
  <si>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</si>
  <si>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</si>
  <si>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</si>
  <si>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</si>
  <si>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</si>
  <si>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</si>
  <si>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</si>
  <si>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</si>
  <si>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</si>
  <si>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</si>
  <si>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</si>
  <si>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</si>
  <si>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</si>
  <si>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</si>
  <si>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</si>
  <si>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</si>
  <si>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</si>
  <si>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</si>
  <si>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</si>
  <si>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</si>
  <si>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</si>
  <si>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</si>
  <si>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</si>
  <si>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</si>
  <si>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</si>
  <si>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</si>
  <si>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</si>
  <si>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</si>
  <si>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</si>
  <si>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</si>
  <si>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</si>
  <si>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</si>
  <si>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</si>
  <si>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</si>
  <si>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</si>
  <si>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</si>
  <si>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</si>
  <si>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</si>
  <si>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</si>
  <si>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</si>
  <si>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</si>
  <si>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</si>
  <si>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</si>
  <si>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</si>
  <si>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</si>
  <si>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</si>
  <si>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</si>
  <si>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</si>
  <si>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</si>
  <si>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</si>
  <si>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</si>
  <si>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</si>
  <si>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</si>
  <si>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</si>
  <si>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</si>
  <si>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</si>
  <si>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</si>
  <si>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</si>
  <si>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</si>
  <si>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</si>
  <si>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</si>
  <si>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</si>
  <si>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</si>
  <si>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</si>
  <si>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</si>
  <si>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</si>
  <si>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</si>
  <si>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</si>
  <si>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</si>
  <si>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</si>
  <si>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</si>
  <si>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</si>
  <si>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</si>
  <si>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</si>
  <si>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</si>
  <si>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</si>
  <si>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</si>
  <si>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</si>
  <si>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</si>
  <si>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</si>
  <si>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</si>
  <si>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</si>
  <si>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</si>
  <si>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</si>
  <si>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</si>
  <si>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</si>
  <si>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</si>
  <si>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</si>
  <si>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</si>
  <si>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</si>
  <si>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</si>
  <si>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</si>
  <si>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</si>
  <si>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</si>
  <si>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</si>
  <si>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</si>
  <si>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</si>
  <si>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</si>
  <si>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</si>
  <si>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</si>
  <si>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</si>
  <si>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</si>
  <si>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</si>
  <si>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</si>
  <si>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</si>
  <si>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</si>
  <si>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</si>
  <si>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</si>
  <si>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</si>
  <si>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</si>
  <si>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</si>
  <si>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</si>
  <si>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</si>
  <si>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</si>
  <si>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</si>
  <si>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</si>
  <si>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</si>
  <si>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</si>
  <si>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</si>
  <si>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</si>
  <si>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</si>
  <si>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</si>
  <si>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</si>
  <si>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</si>
  <si>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</si>
  <si>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</si>
  <si>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</si>
  <si>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</si>
  <si>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</si>
  <si>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</si>
  <si>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</si>
  <si>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</si>
  <si>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</si>
  <si>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</si>
  <si>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</si>
  <si>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</si>
  <si>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</si>
  <si>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</si>
  <si>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</si>
  <si>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</si>
  <si>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</si>
  <si>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</si>
  <si>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</si>
  <si>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</si>
  <si>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</si>
  <si>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</si>
  <si>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</si>
  <si>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</si>
  <si>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</si>
  <si>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</si>
  <si>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</si>
  <si>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</si>
  <si>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</si>
  <si>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</si>
  <si>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</si>
  <si>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</si>
  <si>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</si>
  <si>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</si>
  <si>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</si>
  <si>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</si>
  <si>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</si>
  <si>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</si>
  <si>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</si>
  <si>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</si>
  <si>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</si>
  <si>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</si>
  <si>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</si>
  <si>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</si>
  <si>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</si>
  <si>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</si>
  <si>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</si>
  <si>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</si>
  <si>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</si>
  <si>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</si>
  <si>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</si>
  <si>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</si>
  <si>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</si>
  <si>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</si>
  <si>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</si>
  <si>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</si>
  <si>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</si>
  <si>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</si>
  <si>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</si>
  <si>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</si>
  <si>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</si>
  <si>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</si>
  <si>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</si>
  <si>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</si>
  <si>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</si>
  <si>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</si>
  <si>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</si>
  <si>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</si>
  <si>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</si>
  <si>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</si>
  <si>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</si>
  <si>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</si>
  <si>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</si>
  <si>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</si>
  <si>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</si>
  <si>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</si>
  <si>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</si>
  <si>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</si>
  <si>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</si>
  <si>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</si>
  <si>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</si>
  <si>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</si>
  <si>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</si>
  <si>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</si>
  <si>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</si>
  <si>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</si>
  <si>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</si>
  <si>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</si>
  <si>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</si>
  <si>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</si>
  <si>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</si>
  <si>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</si>
  <si>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</si>
  <si>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</si>
  <si>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</si>
  <si>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</si>
  <si>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</si>
  <si>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</si>
  <si>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</si>
  <si>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</si>
  <si>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</si>
  <si>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</si>
  <si>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</si>
  <si>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</si>
  <si>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</si>
  <si>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</si>
  <si>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</si>
  <si>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</si>
  <si>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</si>
  <si>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</si>
  <si>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</si>
  <si>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</si>
  <si>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</si>
  <si>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</si>
  <si>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</si>
  <si>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</si>
  <si>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</si>
  <si>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</si>
  <si>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</si>
  <si>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</si>
  <si>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</si>
  <si>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</si>
  <si>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</si>
  <si>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</si>
  <si>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</si>
  <si>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</si>
  <si>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</si>
  <si>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</si>
  <si>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</si>
  <si>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</si>
  <si>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</si>
  <si>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</si>
  <si>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</si>
  <si>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</si>
  <si>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</si>
  <si>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</si>
  <si>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</si>
  <si>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</si>
  <si>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</si>
  <si>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</si>
  <si>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</si>
  <si>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</si>
  <si>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</si>
  <si>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</si>
  <si>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</si>
  <si>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</si>
  <si>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</si>
  <si>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</si>
  <si>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</si>
  <si>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</si>
  <si>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</si>
  <si>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</si>
  <si>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</si>
  <si>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</si>
  <si>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</si>
  <si>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</si>
  <si>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</si>
  <si>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</si>
  <si>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</si>
  <si>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</si>
  <si>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</si>
  <si>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</si>
  <si>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</si>
  <si>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</si>
  <si>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</si>
  <si>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</si>
  <si>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</si>
  <si>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</si>
  <si>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</si>
  <si>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</si>
  <si>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</si>
  <si>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</si>
  <si>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</si>
  <si>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</si>
  <si>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</si>
  <si>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</si>
  <si>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</si>
  <si>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</si>
  <si>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</si>
  <si>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</si>
  <si>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</si>
  <si>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</si>
  <si>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</si>
  <si>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</si>
  <si>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</si>
  <si>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</si>
  <si>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</si>
  <si>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</si>
  <si>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</si>
  <si>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</si>
  <si>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</si>
  <si>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</si>
  <si>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</si>
  <si>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</si>
  <si>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</si>
  <si>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</si>
  <si>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</si>
  <si>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</si>
  <si>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</si>
  <si>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</si>
  <si>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</si>
  <si>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</si>
  <si>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</si>
  <si>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</si>
  <si>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</si>
  <si>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</si>
  <si>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</si>
  <si>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</si>
  <si>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</si>
  <si>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</si>
  <si>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</si>
  <si>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</si>
  <si>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</si>
  <si>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</si>
  <si>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</si>
  <si>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</si>
  <si>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</si>
  <si>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</si>
  <si>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</si>
  <si>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</si>
  <si>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</si>
  <si>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</si>
  <si>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</si>
  <si>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</si>
  <si>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</si>
  <si>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</si>
  <si>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</si>
  <si>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</si>
  <si>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</si>
  <si>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</si>
  <si>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</si>
  <si>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</si>
  <si>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</si>
  <si>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</si>
  <si>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</si>
  <si>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</si>
  <si>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</si>
  <si>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</si>
  <si>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</si>
  <si>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</si>
  <si>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</si>
  <si>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</si>
  <si>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</si>
  <si>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</si>
  <si>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</si>
  <si>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</si>
  <si>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</si>
  <si>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</si>
  <si>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</si>
  <si>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</si>
  <si>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</si>
  <si>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</si>
  <si>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</si>
  <si>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</si>
  <si>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</si>
  <si>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</si>
  <si>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</si>
  <si>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</si>
  <si>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</si>
  <si>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</si>
  <si>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</si>
  <si>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</si>
  <si>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</si>
  <si>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</si>
  <si>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</si>
  <si>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</si>
  <si>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</si>
  <si>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</si>
  <si>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</si>
  <si>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</si>
  <si>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</si>
  <si>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</si>
  <si>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</si>
  <si>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</si>
  <si>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</si>
  <si>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</si>
  <si>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</si>
  <si>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</si>
  <si>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</si>
  <si>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</si>
  <si>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</si>
  <si>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</si>
  <si>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</si>
  <si>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</si>
  <si>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</si>
  <si>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</si>
  <si>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</si>
  <si>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</si>
  <si>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</si>
  <si>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</si>
  <si>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</si>
  <si>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</si>
  <si>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</si>
  <si>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</si>
  <si>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</si>
  <si>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</si>
  <si>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</si>
  <si>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</si>
  <si>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</si>
  <si>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</si>
  <si>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</si>
  <si>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</si>
  <si>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</si>
  <si>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</si>
  <si>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</si>
  <si>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</si>
  <si>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</si>
  <si>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</si>
  <si>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</si>
  <si>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</si>
  <si>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</si>
  <si>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</si>
  <si>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</si>
  <si>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</si>
  <si>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</si>
  <si>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</si>
  <si>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</si>
  <si>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</si>
  <si>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</si>
  <si>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</si>
  <si>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</si>
  <si>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</si>
  <si>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</si>
  <si>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</si>
  <si>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</si>
  <si>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</si>
  <si>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</si>
  <si>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</si>
  <si>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</si>
  <si>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</si>
  <si>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</si>
  <si>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</si>
  <si>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</si>
  <si>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</si>
  <si>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</si>
  <si>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</si>
  <si>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</si>
  <si>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</si>
  <si>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</si>
  <si>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</si>
  <si>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</si>
  <si>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</si>
  <si>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</si>
  <si>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</si>
  <si>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</si>
  <si>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</si>
  <si>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</si>
  <si>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</si>
  <si>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</si>
  <si>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</si>
  <si>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</si>
  <si>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</si>
  <si>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</si>
  <si>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</si>
  <si>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</si>
  <si>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</si>
  <si>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</si>
  <si>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</si>
  <si>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</si>
  <si>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</si>
  <si>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</si>
  <si>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</si>
  <si>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</si>
  <si>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</si>
  <si>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</si>
  <si>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</si>
  <si>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</si>
  <si>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</si>
  <si>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</si>
  <si>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</si>
  <si>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</si>
  <si>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</si>
  <si>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</si>
  <si>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</si>
  <si>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</si>
  <si>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</si>
  <si>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</si>
  <si>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</si>
  <si>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</si>
  <si>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</si>
  <si>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</si>
  <si>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</si>
  <si>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</si>
  <si>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</si>
  <si>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</si>
  <si>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</si>
  <si>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</si>
  <si>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</si>
  <si>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</si>
  <si>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</si>
  <si>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</si>
  <si>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</si>
  <si>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</si>
  <si>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</si>
  <si>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</si>
  <si>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</si>
  <si>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</si>
  <si>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</si>
  <si>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</si>
  <si>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</si>
  <si>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</si>
  <si>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</si>
  <si>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</si>
  <si>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</si>
  <si>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</si>
  <si>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</si>
  <si>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</si>
  <si>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</si>
  <si>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</si>
  <si>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</si>
  <si>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</si>
  <si>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</si>
  <si>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</si>
  <si>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</si>
  <si>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</si>
  <si>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</si>
  <si>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</si>
  <si>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</si>
  <si>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</si>
  <si>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</si>
  <si>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</si>
  <si>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</si>
  <si>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</si>
  <si>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</si>
  <si>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</si>
  <si>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</si>
  <si>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</si>
  <si>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</si>
  <si>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</si>
  <si>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</si>
  <si>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</si>
  <si>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</si>
  <si>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</si>
  <si>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</si>
  <si>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</si>
  <si>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</si>
  <si>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</si>
  <si>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</si>
  <si>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</si>
  <si>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</si>
  <si>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</si>
  <si>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</si>
  <si>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</si>
  <si>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</si>
  <si>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</si>
  <si>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</si>
  <si>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</si>
  <si>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</si>
  <si>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</si>
  <si>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</si>
  <si>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</si>
  <si>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</si>
  <si>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</si>
  <si>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</si>
  <si>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</si>
  <si>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</si>
  <si>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</si>
  <si>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</si>
  <si>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</si>
  <si>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</si>
  <si>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</si>
  <si>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</si>
  <si>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</si>
  <si>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</si>
  <si>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</si>
  <si>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</si>
  <si>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</si>
  <si>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</si>
  <si>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</si>
  <si>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</si>
  <si>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</si>
  <si>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</si>
  <si>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</si>
  <si>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</si>
  <si>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</si>
  <si>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</si>
  <si>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</si>
  <si>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</si>
  <si>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</si>
  <si>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</si>
  <si>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</si>
  <si>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</si>
  <si>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</si>
  <si>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</si>
  <si>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</si>
  <si>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</si>
  <si>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</si>
  <si>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</si>
  <si>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</si>
  <si>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</si>
  <si>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</si>
  <si>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</si>
  <si>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</si>
  <si>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</si>
  <si>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</si>
  <si>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</si>
  <si>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</si>
  <si>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</si>
  <si>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</si>
  <si>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</si>
  <si>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</si>
  <si>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</si>
  <si>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</si>
  <si>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</si>
  <si>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</si>
  <si>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</si>
  <si>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</si>
  <si>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</si>
  <si>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</si>
  <si>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</si>
  <si>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</si>
  <si>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</si>
  <si>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</si>
  <si>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</si>
  <si>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</si>
  <si>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</si>
  <si>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</si>
  <si>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</si>
  <si>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</si>
  <si>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</si>
  <si>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</si>
  <si>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</si>
  <si>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</si>
  <si>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</si>
  <si>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</si>
  <si>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</si>
  <si>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</si>
  <si>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</si>
  <si>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</si>
  <si>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</si>
  <si>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</si>
  <si>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</si>
  <si>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</si>
  <si>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</si>
  <si>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</si>
  <si>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</si>
  <si>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</si>
  <si>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</si>
  <si>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</si>
  <si>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</si>
  <si>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</si>
  <si>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</si>
  <si>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</si>
  <si>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</si>
  <si>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</si>
  <si>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</si>
  <si>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</si>
  <si>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</si>
  <si>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</si>
  <si>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</si>
  <si>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</si>
  <si>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</si>
  <si>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</si>
  <si>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</si>
  <si>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</si>
  <si>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</si>
  <si>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</si>
  <si>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</si>
  <si>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</si>
  <si>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</si>
  <si>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</si>
  <si>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</si>
  <si>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</si>
  <si>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</si>
  <si>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</si>
  <si>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</si>
  <si>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</si>
  <si>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</si>
  <si>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</si>
  <si>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</si>
  <si>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</si>
  <si>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</si>
  <si>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</si>
  <si>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</si>
  <si>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</si>
  <si>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</si>
  <si>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</si>
  <si>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</si>
  <si>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</si>
  <si>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</si>
  <si>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</si>
  <si>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</si>
  <si>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</si>
  <si>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</si>
  <si>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</si>
  <si>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</si>
  <si>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</si>
  <si>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</si>
  <si>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</si>
  <si>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</si>
  <si>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</si>
  <si>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</si>
  <si>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</si>
  <si>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Grantham</t>
  </si>
  <si>
    <t>12/08</t>
  </si>
  <si>
    <t>01/29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</si>
</sst>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75" zoomScaleNormal="75" workbookViewId="0">
      <pane xSplit="5" ySplit="3" topLeftCell="F639" activePane="bottomRight" state="frozen"/>
      <selection pane="topRight" activeCell="F1" sqref="F1"/>
      <selection pane="bottomLeft" activeCell="A4" sqref="A4"/>
      <selection pane="bottomRight" activeCell="F665" sqref="F66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909</v>
      </c>
      <c r="B2" s="21">
        <v>211</v>
      </c>
      <c r="C2" s="21">
        <v>211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327770</v>
      </c>
      <c r="G9" s="18"/>
      <c r="H9" s="18"/>
      <c r="I9" s="18"/>
      <c r="J9" s="67">
        <f>SUM(I438)</f>
        <v>484856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f>30491+19779-30000-1870+957</f>
        <v>19357</v>
      </c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v>3376</v>
      </c>
      <c r="H13" s="18"/>
      <c r="I13" s="18"/>
      <c r="J13" s="67">
        <f>SUM(I441)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347127</v>
      </c>
      <c r="G19" s="41">
        <f>SUM(G9:G18)</f>
        <v>3376</v>
      </c>
      <c r="H19" s="41">
        <f>SUM(H9:H18)</f>
        <v>0</v>
      </c>
      <c r="I19" s="41">
        <f>SUM(I9:I18)</f>
        <v>0</v>
      </c>
      <c r="J19" s="41">
        <f>SUM(J9:J18)</f>
        <v>484856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f>2319-20207+5000+19779</f>
        <v>6891</v>
      </c>
      <c r="G22" s="18">
        <v>-7313</v>
      </c>
      <c r="H22" s="18">
        <v>19779</v>
      </c>
      <c r="I22" s="18"/>
      <c r="J22" s="67">
        <f>SUM(I447)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48780</v>
      </c>
      <c r="G24" s="18"/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f>25000+360</f>
        <v>25360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903+912-887+2830+1834+3460+935-3856-367-550</f>
        <v>5214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2158</v>
      </c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86245</v>
      </c>
      <c r="G32" s="41">
        <f>SUM(G22:G31)</f>
        <v>-5155</v>
      </c>
      <c r="H32" s="41">
        <f>SUM(H22:H31)</f>
        <v>19779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2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>
        <f>96600+50085</f>
        <v>146685</v>
      </c>
      <c r="G47" s="18">
        <f>7065+1466</f>
        <v>8531</v>
      </c>
      <c r="H47" s="18">
        <f>-14447-6530+1198</f>
        <v>-19779</v>
      </c>
      <c r="I47" s="18"/>
      <c r="J47" s="13">
        <f>SUM(I458)</f>
        <v>484856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>
        <f>13000+43533+980-13000</f>
        <v>44513</v>
      </c>
      <c r="G48" s="18"/>
      <c r="H48" s="18"/>
      <c r="I48" s="18"/>
      <c r="J48" s="13">
        <f>I453</f>
        <v>0</v>
      </c>
      <c r="K48" s="24"/>
      <c r="L48" s="24"/>
      <c r="M48" s="8"/>
      <c r="N48" s="272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f>123413+167402-50085-43533-13000-30000-1870+13000+957-96600</f>
        <v>69684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2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260882</v>
      </c>
      <c r="G50" s="41">
        <f>SUM(G35:G49)</f>
        <v>8531</v>
      </c>
      <c r="H50" s="41">
        <f>SUM(H35:H49)</f>
        <v>-19779</v>
      </c>
      <c r="I50" s="41">
        <f>SUM(I35:I49)</f>
        <v>0</v>
      </c>
      <c r="J50" s="41">
        <f>SUM(J35:J49)</f>
        <v>484856</v>
      </c>
      <c r="K50" s="45" t="s">
        <v>289</v>
      </c>
      <c r="L50" s="45" t="s">
        <v>289</v>
      </c>
      <c r="N50" s="270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347127</v>
      </c>
      <c r="G51" s="41">
        <f>G50+G32</f>
        <v>3376</v>
      </c>
      <c r="H51" s="41">
        <f>H50+H32</f>
        <v>0</v>
      </c>
      <c r="I51" s="41">
        <f>I50+I32</f>
        <v>0</v>
      </c>
      <c r="J51" s="41">
        <f>J50+J32</f>
        <v>484856</v>
      </c>
      <c r="K51" s="45" t="s">
        <v>289</v>
      </c>
      <c r="L51" s="45" t="s">
        <v>289</v>
      </c>
      <c r="M51" s="8"/>
      <c r="N51" s="272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2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2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2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2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f>7523228-F117</f>
        <v>6324489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2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3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6324489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3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2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3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2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270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0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2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2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2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2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2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2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2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1141</v>
      </c>
      <c r="G95" s="18"/>
      <c r="H95" s="18"/>
      <c r="I95" s="18"/>
      <c r="J95" s="18">
        <v>646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69935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f>1050+3185</f>
        <v>4235</v>
      </c>
      <c r="G109" s="18"/>
      <c r="H109" s="18"/>
      <c r="I109" s="18"/>
      <c r="J109" s="18"/>
      <c r="K109" s="24" t="s">
        <v>289</v>
      </c>
      <c r="L109" s="24" t="s">
        <v>289</v>
      </c>
      <c r="M109" s="8"/>
      <c r="N109" s="272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5376</v>
      </c>
      <c r="G110" s="41">
        <f>SUM(G95:G109)</f>
        <v>69935</v>
      </c>
      <c r="H110" s="41">
        <f>SUM(H95:H109)</f>
        <v>0</v>
      </c>
      <c r="I110" s="41">
        <f>SUM(I95:I109)</f>
        <v>0</v>
      </c>
      <c r="J110" s="41">
        <f>SUM(J95:J109)</f>
        <v>646</v>
      </c>
      <c r="K110" s="45" t="s">
        <v>289</v>
      </c>
      <c r="L110" s="45" t="s">
        <v>289</v>
      </c>
      <c r="N110" s="270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6329865</v>
      </c>
      <c r="G111" s="41">
        <f>G59+G110</f>
        <v>69935</v>
      </c>
      <c r="H111" s="41">
        <f>H59+H78+H93+H110</f>
        <v>0</v>
      </c>
      <c r="I111" s="41">
        <f>I59+I110</f>
        <v>0</v>
      </c>
      <c r="J111" s="41">
        <f>J59+J110</f>
        <v>646</v>
      </c>
      <c r="K111" s="45" t="s">
        <v>289</v>
      </c>
      <c r="L111" s="45" t="s">
        <v>289</v>
      </c>
      <c r="M111" s="8"/>
      <c r="N111" s="272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2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2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2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2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11775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1198739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2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1210514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2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2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107513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2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2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20243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888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2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2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127756</v>
      </c>
      <c r="G135" s="41">
        <f>SUM(G122:G134)</f>
        <v>888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2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2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1338270</v>
      </c>
      <c r="G139" s="41">
        <f>G120+SUM(G135:G136)</f>
        <v>888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2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2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2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2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2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>
        <v>1290</v>
      </c>
      <c r="I144" s="18"/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1290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2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2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/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f>7619-6530+1198</f>
        <v>2287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15975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f>16187+14277</f>
        <v>30464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14374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>
        <f>500</f>
        <v>500</v>
      </c>
      <c r="I160" s="18"/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14374</v>
      </c>
      <c r="G161" s="41">
        <f>SUM(G149:G160)</f>
        <v>15975</v>
      </c>
      <c r="H161" s="41">
        <f>SUM(H149:H160)</f>
        <v>33251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2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2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14374</v>
      </c>
      <c r="G168" s="41">
        <f>G146+G161+SUM(G162:G167)</f>
        <v>15975</v>
      </c>
      <c r="H168" s="41">
        <f>H146+H161+SUM(H162:H167)</f>
        <v>34541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2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2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2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2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2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2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2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5000</v>
      </c>
      <c r="H178" s="18"/>
      <c r="I178" s="18"/>
      <c r="J178" s="18">
        <v>164000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5000</v>
      </c>
      <c r="H182" s="41">
        <f>SUM(H178:H181)</f>
        <v>0</v>
      </c>
      <c r="I182" s="41">
        <f>SUM(I178:I181)</f>
        <v>0</v>
      </c>
      <c r="J182" s="41">
        <f>SUM(J178:J181)</f>
        <v>164000</v>
      </c>
      <c r="K182" s="45" t="s">
        <v>289</v>
      </c>
      <c r="L182" s="45" t="s">
        <v>289</v>
      </c>
      <c r="M182" s="8"/>
      <c r="N182" s="272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2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270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270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2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5000</v>
      </c>
      <c r="H191" s="41">
        <f>+H182+SUM(H187:H190)</f>
        <v>0</v>
      </c>
      <c r="I191" s="41">
        <f>I176+I182+SUM(I187:I190)</f>
        <v>0</v>
      </c>
      <c r="J191" s="41">
        <f>J182</f>
        <v>164000</v>
      </c>
      <c r="K191" s="45" t="s">
        <v>289</v>
      </c>
      <c r="L191" s="45" t="s">
        <v>289</v>
      </c>
      <c r="M191" s="8"/>
      <c r="N191" s="272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7682509</v>
      </c>
      <c r="G192" s="47">
        <f>G111+G139+G168+G191</f>
        <v>91798</v>
      </c>
      <c r="H192" s="47">
        <f>H111+H139+H168+H191</f>
        <v>34541</v>
      </c>
      <c r="I192" s="47">
        <f>I111+I139+I168+I191</f>
        <v>0</v>
      </c>
      <c r="J192" s="47">
        <f>J111+J139+J191</f>
        <v>164646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2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2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2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f>1060786+32280+7315+1163</f>
        <v>1101544</v>
      </c>
      <c r="G196" s="18">
        <f>210409+13805+5764+67762+15848+14+109929+1353+3800</f>
        <v>428684</v>
      </c>
      <c r="H196" s="18">
        <f>4318+2338+27807+457</f>
        <v>34920</v>
      </c>
      <c r="I196" s="18">
        <f>21126+7229+12913+496+2784</f>
        <v>44548</v>
      </c>
      <c r="J196" s="18">
        <f>3483+19601+4038</f>
        <v>27122</v>
      </c>
      <c r="K196" s="18"/>
      <c r="L196" s="19">
        <f>SUM(F196:K196)</f>
        <v>1636818</v>
      </c>
      <c r="M196" s="8"/>
      <c r="N196" s="272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f>98412+45045+10150+146151+43998+2356</f>
        <v>346112</v>
      </c>
      <c r="G197" s="18">
        <f>164045+12012+1850+22928+5362+17289+975+600</f>
        <v>225061</v>
      </c>
      <c r="H197" s="18">
        <f>1744+4964+4721+79376+1925+15</f>
        <v>92745</v>
      </c>
      <c r="I197" s="18">
        <f>1479</f>
        <v>1479</v>
      </c>
      <c r="J197" s="18"/>
      <c r="K197" s="18"/>
      <c r="L197" s="19">
        <f>SUM(F197:K197)</f>
        <v>665397</v>
      </c>
      <c r="M197" s="8"/>
      <c r="N197" s="272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2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f>22724+50998+14477</f>
        <v>88199</v>
      </c>
      <c r="G201" s="18">
        <f>1409+329+50+5004+1237+305+3464+810+5762+50+898+210+50</f>
        <v>19578</v>
      </c>
      <c r="H201" s="18">
        <f>41474+150+45818+30064+120</f>
        <v>117626</v>
      </c>
      <c r="I201" s="18">
        <f>2067+47+406+113</f>
        <v>2633</v>
      </c>
      <c r="J201" s="18"/>
      <c r="K201" s="18">
        <f>30</f>
        <v>30</v>
      </c>
      <c r="L201" s="19">
        <f t="shared" ref="L201:L207" si="0">SUM(F201:K201)</f>
        <v>228066</v>
      </c>
      <c r="M201" s="8"/>
      <c r="N201" s="272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f>53548</f>
        <v>53548</v>
      </c>
      <c r="G202" s="18">
        <f>143+33+166+7007+1428+20015+1237+317+3159+739+6051+50+241</f>
        <v>40586</v>
      </c>
      <c r="H202" s="18">
        <f>5601+978+1115+194+13569+14268</f>
        <v>35725</v>
      </c>
      <c r="I202" s="18">
        <f>238+80+6777+417+4605+528</f>
        <v>12645</v>
      </c>
      <c r="J202" s="18">
        <f>220+19523</f>
        <v>19743</v>
      </c>
      <c r="K202" s="18"/>
      <c r="L202" s="19">
        <f t="shared" si="0"/>
        <v>162247</v>
      </c>
      <c r="M202" s="8"/>
      <c r="N202" s="272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f>3185+118087+10894</f>
        <v>132166</v>
      </c>
      <c r="G203" s="18">
        <f>189+44+111+20015+1237+307+7774+1818+5429+142+553</f>
        <v>37619</v>
      </c>
      <c r="H203" s="18">
        <f>88248+11000+3382+21441+234+2016+4261+3177+193+1027+264+979</f>
        <v>136222</v>
      </c>
      <c r="I203" s="18">
        <f>390+517+2578+189</f>
        <v>3674</v>
      </c>
      <c r="J203" s="18"/>
      <c r="K203" s="18">
        <f>3202+990</f>
        <v>4192</v>
      </c>
      <c r="L203" s="19">
        <f t="shared" si="0"/>
        <v>313873</v>
      </c>
      <c r="M203" s="8"/>
      <c r="N203" s="272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f>136439</f>
        <v>136439</v>
      </c>
      <c r="G204" s="18">
        <f>54857+3188+883+8103+1895+4256+9953+380+132+601</f>
        <v>84248</v>
      </c>
      <c r="H204" s="18">
        <f>671+2646+5631+3191+2798</f>
        <v>14937</v>
      </c>
      <c r="I204" s="18">
        <f>2919+3282+5139</f>
        <v>11340</v>
      </c>
      <c r="J204" s="18"/>
      <c r="K204" s="18">
        <f>485</f>
        <v>485</v>
      </c>
      <c r="L204" s="19">
        <f t="shared" si="0"/>
        <v>247449</v>
      </c>
      <c r="M204" s="8"/>
      <c r="N204" s="272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f>80334+57076+367</f>
        <v>137777</v>
      </c>
      <c r="G206" s="18">
        <f>26146+1153+802+8499+1988+11897+160+534</f>
        <v>51179</v>
      </c>
      <c r="H206" s="18">
        <f>5072+49020+750+1616+10582+30000</f>
        <v>97040</v>
      </c>
      <c r="I206" s="18">
        <f>24690+26756+50956+928</f>
        <v>103330</v>
      </c>
      <c r="J206" s="18">
        <f>1404+1210+48</f>
        <v>2662</v>
      </c>
      <c r="K206" s="18"/>
      <c r="L206" s="19">
        <f t="shared" si="0"/>
        <v>391988</v>
      </c>
      <c r="M206" s="8"/>
      <c r="N206" s="272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f>-25766-46107+154827</f>
        <v>82954</v>
      </c>
      <c r="I207" s="18"/>
      <c r="J207" s="18"/>
      <c r="K207" s="18"/>
      <c r="L207" s="19">
        <f t="shared" si="0"/>
        <v>82954</v>
      </c>
      <c r="M207" s="8"/>
      <c r="N207" s="272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  <c r="N208" s="272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2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1995785</v>
      </c>
      <c r="G210" s="41">
        <f t="shared" si="1"/>
        <v>886955</v>
      </c>
      <c r="H210" s="41">
        <f t="shared" si="1"/>
        <v>612169</v>
      </c>
      <c r="I210" s="41">
        <f t="shared" si="1"/>
        <v>179649</v>
      </c>
      <c r="J210" s="41">
        <f t="shared" si="1"/>
        <v>49527</v>
      </c>
      <c r="K210" s="41">
        <f t="shared" si="1"/>
        <v>4707</v>
      </c>
      <c r="L210" s="41">
        <f t="shared" si="1"/>
        <v>3728792</v>
      </c>
      <c r="M210" s="8"/>
      <c r="N210" s="272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2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2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2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>
        <v>1183966</v>
      </c>
      <c r="I214" s="18"/>
      <c r="J214" s="18"/>
      <c r="K214" s="18"/>
      <c r="L214" s="19">
        <f>SUM(F214:K214)</f>
        <v>1183966</v>
      </c>
      <c r="M214" s="8"/>
      <c r="N214" s="272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2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  <c r="N219" s="272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  <c r="N220" s="272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>
        <v>25766</v>
      </c>
      <c r="I225" s="18"/>
      <c r="J225" s="18"/>
      <c r="K225" s="18"/>
      <c r="L225" s="19">
        <f t="shared" si="2"/>
        <v>25766</v>
      </c>
      <c r="M225" s="8"/>
      <c r="N225" s="272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  <c r="N226" s="272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2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1209732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1209732</v>
      </c>
      <c r="M228" s="8"/>
      <c r="N228" s="272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2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2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2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>
        <f>1794148</f>
        <v>1794148</v>
      </c>
      <c r="I232" s="18"/>
      <c r="J232" s="18"/>
      <c r="K232" s="18"/>
      <c r="L232" s="19">
        <f>SUM(F232:K232)</f>
        <v>1794148</v>
      </c>
      <c r="M232" s="8"/>
      <c r="N232" s="272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2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  <c r="N237" s="272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  <c r="N238" s="272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v>46107</v>
      </c>
      <c r="I243" s="18"/>
      <c r="J243" s="18"/>
      <c r="K243" s="18"/>
      <c r="L243" s="19">
        <f t="shared" si="4"/>
        <v>46107</v>
      </c>
      <c r="M243" s="8"/>
      <c r="N243" s="272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  <c r="N244" s="272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2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0</v>
      </c>
      <c r="G246" s="41">
        <f t="shared" si="5"/>
        <v>0</v>
      </c>
      <c r="H246" s="41">
        <f t="shared" si="5"/>
        <v>1840255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1840255</v>
      </c>
      <c r="M246" s="8"/>
      <c r="N246" s="272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2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2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2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2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  <c r="N255" s="272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1995785</v>
      </c>
      <c r="G256" s="41">
        <f t="shared" si="8"/>
        <v>886955</v>
      </c>
      <c r="H256" s="41">
        <f t="shared" si="8"/>
        <v>3662156</v>
      </c>
      <c r="I256" s="41">
        <f t="shared" si="8"/>
        <v>179649</v>
      </c>
      <c r="J256" s="41">
        <f t="shared" si="8"/>
        <v>49527</v>
      </c>
      <c r="K256" s="41">
        <f t="shared" si="8"/>
        <v>4707</v>
      </c>
      <c r="L256" s="41">
        <f t="shared" si="8"/>
        <v>6778779</v>
      </c>
      <c r="M256" s="8"/>
      <c r="N256" s="272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2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2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353657</v>
      </c>
      <c r="L259" s="19">
        <f>SUM(F259:K259)</f>
        <v>353657</v>
      </c>
      <c r="M259" s="8"/>
      <c r="N259" s="272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307669</v>
      </c>
      <c r="L260" s="19">
        <f>SUM(F260:K260)</f>
        <v>307669</v>
      </c>
      <c r="N260" s="270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270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5000</v>
      </c>
      <c r="L262" s="19">
        <f>SUM(F262:K262)</f>
        <v>5000</v>
      </c>
      <c r="N262" s="270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270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270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164000</v>
      </c>
      <c r="L265" s="19">
        <f t="shared" si="9"/>
        <v>164000</v>
      </c>
      <c r="N265" s="270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270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270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830326</v>
      </c>
      <c r="L269" s="41">
        <f t="shared" si="9"/>
        <v>830326</v>
      </c>
      <c r="N269" s="270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1995785</v>
      </c>
      <c r="G270" s="42">
        <f t="shared" si="11"/>
        <v>886955</v>
      </c>
      <c r="H270" s="42">
        <f t="shared" si="11"/>
        <v>3662156</v>
      </c>
      <c r="I270" s="42">
        <f t="shared" si="11"/>
        <v>179649</v>
      </c>
      <c r="J270" s="42">
        <f t="shared" si="11"/>
        <v>49527</v>
      </c>
      <c r="K270" s="42">
        <f t="shared" si="11"/>
        <v>835033</v>
      </c>
      <c r="L270" s="42">
        <f t="shared" si="11"/>
        <v>7609105</v>
      </c>
      <c r="M270" s="8"/>
      <c r="N270" s="272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2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2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2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2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/>
      <c r="G275" s="18"/>
      <c r="H275" s="18">
        <f>1749+50</f>
        <v>1799</v>
      </c>
      <c r="I275" s="18"/>
      <c r="J275" s="18">
        <v>7324</v>
      </c>
      <c r="K275" s="18"/>
      <c r="L275" s="19">
        <f>SUM(F275:K275)</f>
        <v>9123</v>
      </c>
      <c r="M275" s="8"/>
      <c r="N275" s="272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f>32278</f>
        <v>32278</v>
      </c>
      <c r="G276" s="18">
        <f>27+6</f>
        <v>33</v>
      </c>
      <c r="H276" s="18">
        <f>1295+1579+914</f>
        <v>3788</v>
      </c>
      <c r="I276" s="18">
        <v>87</v>
      </c>
      <c r="J276" s="18"/>
      <c r="K276" s="18"/>
      <c r="L276" s="19">
        <f>SUM(F276:K276)</f>
        <v>36186</v>
      </c>
      <c r="M276" s="8"/>
      <c r="N276" s="272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2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  <c r="N280" s="272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>
        <f>6931</f>
        <v>6931</v>
      </c>
      <c r="I281" s="18">
        <v>919</v>
      </c>
      <c r="J281" s="18"/>
      <c r="K281" s="18"/>
      <c r="L281" s="19">
        <f t="shared" si="12"/>
        <v>7850</v>
      </c>
      <c r="M281" s="8"/>
      <c r="N281" s="272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2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2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32278</v>
      </c>
      <c r="G289" s="42">
        <f t="shared" si="13"/>
        <v>33</v>
      </c>
      <c r="H289" s="42">
        <f t="shared" si="13"/>
        <v>12518</v>
      </c>
      <c r="I289" s="42">
        <f t="shared" si="13"/>
        <v>1006</v>
      </c>
      <c r="J289" s="42">
        <f t="shared" si="13"/>
        <v>7324</v>
      </c>
      <c r="K289" s="42">
        <f t="shared" si="13"/>
        <v>0</v>
      </c>
      <c r="L289" s="41">
        <f t="shared" si="13"/>
        <v>53159</v>
      </c>
      <c r="M289" s="8"/>
      <c r="N289" s="272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2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2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2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2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  <c r="N294" s="272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2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  <c r="N299" s="272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  <c r="N300" s="272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2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2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  <c r="N308" s="27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2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2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2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2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  <c r="N313" s="272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2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  <c r="N318" s="272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  <c r="N319" s="272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2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2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  <c r="N327" s="272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2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2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2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2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2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2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32278</v>
      </c>
      <c r="G337" s="41">
        <f t="shared" si="20"/>
        <v>33</v>
      </c>
      <c r="H337" s="41">
        <f t="shared" si="20"/>
        <v>12518</v>
      </c>
      <c r="I337" s="41">
        <f t="shared" si="20"/>
        <v>1006</v>
      </c>
      <c r="J337" s="41">
        <f t="shared" si="20"/>
        <v>7324</v>
      </c>
      <c r="K337" s="41">
        <f t="shared" si="20"/>
        <v>0</v>
      </c>
      <c r="L337" s="41">
        <f t="shared" si="20"/>
        <v>53159</v>
      </c>
      <c r="M337" s="8"/>
      <c r="N337" s="272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2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2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2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71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2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2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2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2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2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32278</v>
      </c>
      <c r="G351" s="41">
        <f>G337</f>
        <v>33</v>
      </c>
      <c r="H351" s="41">
        <f>H337</f>
        <v>12518</v>
      </c>
      <c r="I351" s="41">
        <f>I337</f>
        <v>1006</v>
      </c>
      <c r="J351" s="41">
        <f>J337</f>
        <v>7324</v>
      </c>
      <c r="K351" s="47">
        <f>K337+K350</f>
        <v>0</v>
      </c>
      <c r="L351" s="41">
        <f>L337+L350</f>
        <v>53159</v>
      </c>
      <c r="M351" s="52"/>
      <c r="N351" s="271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2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2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2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2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36282</v>
      </c>
      <c r="G357" s="18">
        <f>17314+967+125+2126+497+154</f>
        <v>21183</v>
      </c>
      <c r="H357" s="18">
        <f>298</f>
        <v>298</v>
      </c>
      <c r="I357" s="18">
        <f>947+26263+5000</f>
        <v>32210</v>
      </c>
      <c r="J357" s="18">
        <v>357</v>
      </c>
      <c r="K357" s="18"/>
      <c r="L357" s="13">
        <f>SUM(F357:K357)</f>
        <v>90330</v>
      </c>
      <c r="N357" s="270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  <c r="N358" s="272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2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36282</v>
      </c>
      <c r="G361" s="47">
        <f t="shared" si="22"/>
        <v>21183</v>
      </c>
      <c r="H361" s="47">
        <f t="shared" si="22"/>
        <v>298</v>
      </c>
      <c r="I361" s="47">
        <f t="shared" si="22"/>
        <v>32210</v>
      </c>
      <c r="J361" s="47">
        <f t="shared" si="22"/>
        <v>357</v>
      </c>
      <c r="K361" s="47">
        <f t="shared" si="22"/>
        <v>0</v>
      </c>
      <c r="L361" s="47">
        <f t="shared" si="22"/>
        <v>90330</v>
      </c>
      <c r="M361" s="8"/>
      <c r="N361" s="272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2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2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2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f>26263+5000</f>
        <v>31263</v>
      </c>
      <c r="G366" s="18"/>
      <c r="H366" s="18"/>
      <c r="I366" s="56">
        <f>SUM(F366:H366)</f>
        <v>31263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947</v>
      </c>
      <c r="G367" s="63"/>
      <c r="H367" s="63"/>
      <c r="I367" s="56">
        <f>SUM(F367:H367)</f>
        <v>947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32210</v>
      </c>
      <c r="G368" s="47">
        <f>SUM(G366:G367)</f>
        <v>0</v>
      </c>
      <c r="H368" s="47">
        <f>SUM(H366:H367)</f>
        <v>0</v>
      </c>
      <c r="I368" s="47">
        <f>SUM(I366:I367)</f>
        <v>32210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2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2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2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2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2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>
        <v>60509</v>
      </c>
      <c r="I374" s="18"/>
      <c r="J374" s="18"/>
      <c r="K374" s="18"/>
      <c r="L374" s="13">
        <f t="shared" ref="L374:L380" si="23">SUM(F374:K374)</f>
        <v>60509</v>
      </c>
      <c r="M374" s="8"/>
      <c r="N374" s="272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2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2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60509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60509</v>
      </c>
      <c r="M381" s="8"/>
      <c r="N381" s="272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2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2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2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2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  <c r="N392" s="272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2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2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>
        <f>40+212</f>
        <v>252</v>
      </c>
      <c r="I395" s="18"/>
      <c r="J395" s="24" t="s">
        <v>289</v>
      </c>
      <c r="K395" s="24" t="s">
        <v>289</v>
      </c>
      <c r="L395" s="56">
        <f t="shared" si="26"/>
        <v>252</v>
      </c>
      <c r="M395" s="8"/>
      <c r="N395" s="272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>
        <v>164000</v>
      </c>
      <c r="H396" s="18">
        <f>71</f>
        <v>71</v>
      </c>
      <c r="I396" s="18"/>
      <c r="J396" s="24" t="s">
        <v>289</v>
      </c>
      <c r="K396" s="24" t="s">
        <v>289</v>
      </c>
      <c r="L396" s="56">
        <f t="shared" si="26"/>
        <v>164071</v>
      </c>
      <c r="M396" s="8"/>
      <c r="N396" s="272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>
        <f>22+239</f>
        <v>261</v>
      </c>
      <c r="I397" s="18"/>
      <c r="J397" s="24" t="s">
        <v>289</v>
      </c>
      <c r="K397" s="24" t="s">
        <v>289</v>
      </c>
      <c r="L397" s="56">
        <f t="shared" si="26"/>
        <v>261</v>
      </c>
      <c r="M397" s="8"/>
      <c r="N397" s="272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>
        <f>12+50</f>
        <v>62</v>
      </c>
      <c r="I399" s="18"/>
      <c r="J399" s="24" t="s">
        <v>289</v>
      </c>
      <c r="K399" s="24" t="s">
        <v>289</v>
      </c>
      <c r="L399" s="56">
        <f t="shared" si="26"/>
        <v>62</v>
      </c>
      <c r="M399" s="8"/>
      <c r="N399" s="272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164000</v>
      </c>
      <c r="H400" s="47">
        <f>SUM(H394:H399)</f>
        <v>646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164646</v>
      </c>
      <c r="M400" s="8"/>
      <c r="N400" s="272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2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2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164000</v>
      </c>
      <c r="H407" s="47">
        <f>H392+H400+H406</f>
        <v>646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164646</v>
      </c>
      <c r="M407" s="8"/>
      <c r="N407" s="272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2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2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2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2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2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71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2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72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2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2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  <c r="N421" s="272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  <c r="N426" s="272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270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2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2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  <c r="N433" s="272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2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2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2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2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>
        <v>91615</v>
      </c>
      <c r="G438" s="18">
        <f>63831+30336+228288+56079</f>
        <v>378534</v>
      </c>
      <c r="H438" s="18">
        <f>11228+2855+624</f>
        <v>14707</v>
      </c>
      <c r="I438" s="56">
        <f t="shared" ref="I438:I444" si="33">SUM(F438:H438)</f>
        <v>484856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91615</v>
      </c>
      <c r="G445" s="13">
        <f>SUM(G438:G444)</f>
        <v>378534</v>
      </c>
      <c r="H445" s="13">
        <f>SUM(H438:H444)</f>
        <v>14707</v>
      </c>
      <c r="I445" s="13">
        <f>SUM(I438:I444)</f>
        <v>484856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2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2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71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91615</v>
      </c>
      <c r="G458" s="18">
        <v>378534</v>
      </c>
      <c r="H458" s="18">
        <v>14707</v>
      </c>
      <c r="I458" s="56">
        <f t="shared" si="34"/>
        <v>484856</v>
      </c>
      <c r="J458" s="24" t="s">
        <v>289</v>
      </c>
      <c r="K458" s="24" t="s">
        <v>289</v>
      </c>
      <c r="L458" s="24" t="s">
        <v>289</v>
      </c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91615</v>
      </c>
      <c r="G459" s="83">
        <f>SUM(G453:G458)</f>
        <v>378534</v>
      </c>
      <c r="H459" s="83">
        <f>SUM(H453:H458)</f>
        <v>14707</v>
      </c>
      <c r="I459" s="83">
        <f>SUM(I453:I458)</f>
        <v>484856</v>
      </c>
      <c r="J459" s="24" t="s">
        <v>289</v>
      </c>
      <c r="K459" s="24" t="s">
        <v>289</v>
      </c>
      <c r="L459" s="24" t="s">
        <v>289</v>
      </c>
      <c r="N459" s="271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91615</v>
      </c>
      <c r="G460" s="42">
        <f>G451+G459</f>
        <v>378534</v>
      </c>
      <c r="H460" s="42">
        <f>H451+H459</f>
        <v>14707</v>
      </c>
      <c r="I460" s="42">
        <f>I451+I459</f>
        <v>484856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71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71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71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144275</v>
      </c>
      <c r="G464" s="18">
        <v>6952</v>
      </c>
      <c r="H464" s="18">
        <v>24772</v>
      </c>
      <c r="I464" s="18">
        <v>60509</v>
      </c>
      <c r="J464" s="18">
        <v>320233</v>
      </c>
      <c r="K464" s="24" t="s">
        <v>289</v>
      </c>
      <c r="L464" s="24" t="s">
        <v>289</v>
      </c>
      <c r="N464" s="271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f>F192</f>
        <v>7682509</v>
      </c>
      <c r="G467" s="18">
        <f>G192</f>
        <v>91798</v>
      </c>
      <c r="H467" s="18">
        <f>H192</f>
        <v>34541</v>
      </c>
      <c r="I467" s="18"/>
      <c r="J467" s="18">
        <f>L407</f>
        <v>164646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>
        <f>980+43136-1870+957</f>
        <v>43203</v>
      </c>
      <c r="G468" s="18">
        <v>111</v>
      </c>
      <c r="H468" s="18"/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7725712</v>
      </c>
      <c r="G469" s="53">
        <f>SUM(G467:G468)</f>
        <v>91909</v>
      </c>
      <c r="H469" s="53">
        <f>SUM(H467:H468)</f>
        <v>34541</v>
      </c>
      <c r="I469" s="53">
        <f>SUM(I467:I468)</f>
        <v>0</v>
      </c>
      <c r="J469" s="53">
        <f>SUM(J467:J468)</f>
        <v>164646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f>L270</f>
        <v>7609105</v>
      </c>
      <c r="G471" s="18">
        <f>L361</f>
        <v>90330</v>
      </c>
      <c r="H471" s="18">
        <f>L289</f>
        <v>53159</v>
      </c>
      <c r="I471" s="18">
        <f>L381</f>
        <v>60509</v>
      </c>
      <c r="J471" s="18"/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>
        <v>25933</v>
      </c>
      <c r="I472" s="18"/>
      <c r="J472" s="18">
        <v>23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7609105</v>
      </c>
      <c r="G473" s="53">
        <f>SUM(G471:G472)</f>
        <v>90330</v>
      </c>
      <c r="H473" s="53">
        <f>SUM(H471:H472)</f>
        <v>79092</v>
      </c>
      <c r="I473" s="53">
        <f>SUM(I471:I472)</f>
        <v>60509</v>
      </c>
      <c r="J473" s="53">
        <f>SUM(J471:J472)</f>
        <v>23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260882</v>
      </c>
      <c r="G475" s="53">
        <f>(G464+G469)- G473</f>
        <v>8531</v>
      </c>
      <c r="H475" s="53">
        <f>(H464+H469)- H473</f>
        <v>-19779</v>
      </c>
      <c r="I475" s="53">
        <f>(I464+I469)- I473</f>
        <v>0</v>
      </c>
      <c r="J475" s="53">
        <f>(J464+J469)- J473</f>
        <v>484856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71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71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71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71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71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71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71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71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71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71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20</v>
      </c>
      <c r="G489" s="154"/>
      <c r="H489" s="154"/>
      <c r="I489" s="154"/>
      <c r="J489" s="154"/>
      <c r="K489" s="24" t="s">
        <v>289</v>
      </c>
      <c r="L489" s="24" t="s">
        <v>289</v>
      </c>
      <c r="N489" s="271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910</v>
      </c>
      <c r="G490" s="155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911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7150000</v>
      </c>
      <c r="G492" s="18"/>
      <c r="H492" s="18"/>
      <c r="I492" s="18"/>
      <c r="J492" s="18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5.0999999999999996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6030000</v>
      </c>
      <c r="G494" s="18"/>
      <c r="H494" s="18"/>
      <c r="I494" s="18"/>
      <c r="J494" s="18"/>
      <c r="K494" s="53">
        <f>SUM(F494:J494)</f>
        <v>6030000</v>
      </c>
      <c r="L494" s="24" t="s">
        <v>289</v>
      </c>
      <c r="N494" s="271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>
        <v>0</v>
      </c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353657</v>
      </c>
      <c r="G496" s="18"/>
      <c r="H496" s="18"/>
      <c r="I496" s="18"/>
      <c r="J496" s="18"/>
      <c r="K496" s="53">
        <f t="shared" si="35"/>
        <v>353657</v>
      </c>
      <c r="L496" s="24" t="s">
        <v>289</v>
      </c>
      <c r="N496" s="271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>
        <f>F494-F496</f>
        <v>5676343</v>
      </c>
      <c r="G497" s="204"/>
      <c r="H497" s="204"/>
      <c r="I497" s="204"/>
      <c r="J497" s="204"/>
      <c r="K497" s="205">
        <f t="shared" si="35"/>
        <v>5676343</v>
      </c>
      <c r="L497" s="206" t="s">
        <v>289</v>
      </c>
      <c r="N497" s="271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f>2894026-307669</f>
        <v>2586357</v>
      </c>
      <c r="G498" s="18"/>
      <c r="H498" s="18"/>
      <c r="I498" s="18"/>
      <c r="J498" s="18"/>
      <c r="K498" s="53">
        <f t="shared" si="35"/>
        <v>2586357</v>
      </c>
      <c r="L498" s="24" t="s">
        <v>289</v>
      </c>
      <c r="N498" s="271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8262700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8262700</v>
      </c>
      <c r="L499" s="45" t="s">
        <v>289</v>
      </c>
      <c r="N499" s="271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>
        <v>355000</v>
      </c>
      <c r="G500" s="204"/>
      <c r="H500" s="204"/>
      <c r="I500" s="204"/>
      <c r="J500" s="204"/>
      <c r="K500" s="205">
        <f t="shared" si="35"/>
        <v>355000</v>
      </c>
      <c r="L500" s="206" t="s">
        <v>289</v>
      </c>
      <c r="N500" s="271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291694</v>
      </c>
      <c r="G501" s="18"/>
      <c r="H501" s="18"/>
      <c r="I501" s="18"/>
      <c r="J501" s="18"/>
      <c r="K501" s="53">
        <f t="shared" si="35"/>
        <v>291694</v>
      </c>
      <c r="L501" s="24" t="s">
        <v>289</v>
      </c>
      <c r="N501" s="271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646694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646694</v>
      </c>
      <c r="L502" s="45" t="s">
        <v>289</v>
      </c>
      <c r="N502" s="271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71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71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71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71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71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71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71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71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71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f>F197+F276-F530</f>
        <v>333345</v>
      </c>
      <c r="G520" s="18">
        <f>G197+G276-G530</f>
        <v>221604</v>
      </c>
      <c r="H520" s="18">
        <f>H197+H276-H530</f>
        <v>96033</v>
      </c>
      <c r="I520" s="18">
        <f>I197+I276-I530</f>
        <v>1066</v>
      </c>
      <c r="J520" s="18">
        <f>J197+J276</f>
        <v>0</v>
      </c>
      <c r="K520" s="18">
        <f>K197+K276</f>
        <v>0</v>
      </c>
      <c r="L520" s="88">
        <f>SUM(F520:K520)</f>
        <v>652048</v>
      </c>
      <c r="N520" s="271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71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333345</v>
      </c>
      <c r="G523" s="108">
        <f t="shared" ref="G523:L523" si="36">SUM(G520:G522)</f>
        <v>221604</v>
      </c>
      <c r="H523" s="108">
        <f t="shared" si="36"/>
        <v>96033</v>
      </c>
      <c r="I523" s="108">
        <f t="shared" si="36"/>
        <v>1066</v>
      </c>
      <c r="J523" s="108">
        <f t="shared" si="36"/>
        <v>0</v>
      </c>
      <c r="K523" s="108">
        <f t="shared" si="36"/>
        <v>0</v>
      </c>
      <c r="L523" s="89">
        <f t="shared" si="36"/>
        <v>652048</v>
      </c>
      <c r="N523" s="271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71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/>
      <c r="G525" s="18"/>
      <c r="H525" s="18"/>
      <c r="I525" s="18"/>
      <c r="J525" s="18"/>
      <c r="K525" s="18"/>
      <c r="L525" s="88">
        <f>SUM(F525:K525)</f>
        <v>0</v>
      </c>
      <c r="M525" s="8"/>
      <c r="N525" s="272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0</v>
      </c>
      <c r="G528" s="89">
        <f t="shared" ref="G528:L528" si="37">SUM(G525:G527)</f>
        <v>0</v>
      </c>
      <c r="H528" s="89">
        <f t="shared" si="37"/>
        <v>0</v>
      </c>
      <c r="I528" s="89">
        <f t="shared" si="37"/>
        <v>0</v>
      </c>
      <c r="J528" s="89">
        <f t="shared" si="37"/>
        <v>0</v>
      </c>
      <c r="K528" s="89">
        <f t="shared" si="37"/>
        <v>0</v>
      </c>
      <c r="L528" s="89">
        <f t="shared" si="37"/>
        <v>0</v>
      </c>
      <c r="M528" s="8"/>
      <c r="N528" s="272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2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f>45045</f>
        <v>45045</v>
      </c>
      <c r="G530" s="18">
        <v>3490</v>
      </c>
      <c r="H530" s="18">
        <v>500</v>
      </c>
      <c r="I530" s="18">
        <v>500</v>
      </c>
      <c r="J530" s="18"/>
      <c r="K530" s="18"/>
      <c r="L530" s="88">
        <f>SUM(F530:K530)</f>
        <v>49535</v>
      </c>
      <c r="M530" s="8"/>
      <c r="N530" s="272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45045</v>
      </c>
      <c r="G533" s="89">
        <f t="shared" ref="G533:L533" si="38">SUM(G530:G532)</f>
        <v>3490</v>
      </c>
      <c r="H533" s="89">
        <f t="shared" si="38"/>
        <v>500</v>
      </c>
      <c r="I533" s="89">
        <f t="shared" si="38"/>
        <v>500</v>
      </c>
      <c r="J533" s="89">
        <f t="shared" si="38"/>
        <v>0</v>
      </c>
      <c r="K533" s="89">
        <f t="shared" si="38"/>
        <v>0</v>
      </c>
      <c r="L533" s="89">
        <f t="shared" si="38"/>
        <v>49535</v>
      </c>
      <c r="M533" s="8"/>
      <c r="N533" s="272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2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  <c r="N535" s="272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  <c r="N538" s="272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2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/>
      <c r="I540" s="18"/>
      <c r="J540" s="18"/>
      <c r="K540" s="18"/>
      <c r="L540" s="88">
        <f>SUM(F540:K540)</f>
        <v>0</v>
      </c>
      <c r="M540" s="8"/>
      <c r="N540" s="272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0">SUM(G540:G542)</f>
        <v>0</v>
      </c>
      <c r="H543" s="193">
        <f t="shared" si="40"/>
        <v>0</v>
      </c>
      <c r="I543" s="193">
        <f t="shared" si="40"/>
        <v>0</v>
      </c>
      <c r="J543" s="193">
        <f t="shared" si="40"/>
        <v>0</v>
      </c>
      <c r="K543" s="193">
        <f t="shared" si="40"/>
        <v>0</v>
      </c>
      <c r="L543" s="193">
        <f t="shared" si="40"/>
        <v>0</v>
      </c>
      <c r="M543" s="8"/>
      <c r="N543" s="272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378390</v>
      </c>
      <c r="G544" s="89">
        <f t="shared" ref="G544:L544" si="41">G523+G528+G533+G538+G543</f>
        <v>225094</v>
      </c>
      <c r="H544" s="89">
        <f t="shared" si="41"/>
        <v>96533</v>
      </c>
      <c r="I544" s="89">
        <f t="shared" si="41"/>
        <v>1566</v>
      </c>
      <c r="J544" s="89">
        <f t="shared" si="41"/>
        <v>0</v>
      </c>
      <c r="K544" s="89">
        <f t="shared" si="41"/>
        <v>0</v>
      </c>
      <c r="L544" s="89">
        <f t="shared" si="41"/>
        <v>701583</v>
      </c>
      <c r="M544" s="8"/>
      <c r="N544" s="272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2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2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2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652048</v>
      </c>
      <c r="G548" s="87">
        <f>L525</f>
        <v>0</v>
      </c>
      <c r="H548" s="87">
        <f>L530</f>
        <v>49535</v>
      </c>
      <c r="I548" s="87">
        <f>L535</f>
        <v>0</v>
      </c>
      <c r="J548" s="87">
        <f>L540</f>
        <v>0</v>
      </c>
      <c r="K548" s="87">
        <f>SUM(F548:J548)</f>
        <v>701583</v>
      </c>
      <c r="L548" s="24" t="s">
        <v>289</v>
      </c>
      <c r="M548" s="8"/>
      <c r="N548" s="272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  <c r="N549" s="272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652048</v>
      </c>
      <c r="G551" s="89">
        <f t="shared" si="42"/>
        <v>0</v>
      </c>
      <c r="H551" s="89">
        <f t="shared" si="42"/>
        <v>49535</v>
      </c>
      <c r="I551" s="89">
        <f t="shared" si="42"/>
        <v>0</v>
      </c>
      <c r="J551" s="89">
        <f t="shared" si="42"/>
        <v>0</v>
      </c>
      <c r="K551" s="89">
        <f t="shared" si="42"/>
        <v>701583</v>
      </c>
      <c r="L551" s="24"/>
      <c r="M551" s="8"/>
      <c r="N551" s="272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2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2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2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2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2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72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2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  <c r="N561" s="272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  <c r="N564" s="272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2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2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5">SUM(G566:G568)</f>
        <v>0</v>
      </c>
      <c r="H569" s="193">
        <f t="shared" si="45"/>
        <v>0</v>
      </c>
      <c r="I569" s="193">
        <f t="shared" si="45"/>
        <v>0</v>
      </c>
      <c r="J569" s="193">
        <f t="shared" si="45"/>
        <v>0</v>
      </c>
      <c r="K569" s="193">
        <f t="shared" si="45"/>
        <v>0</v>
      </c>
      <c r="L569" s="193">
        <f t="shared" si="45"/>
        <v>0</v>
      </c>
      <c r="M569" s="8"/>
      <c r="N569" s="272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  <c r="N570" s="272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2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2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>
        <v>1183966</v>
      </c>
      <c r="H574" s="18">
        <v>1794148</v>
      </c>
      <c r="I574" s="87">
        <f>SUM(F574:H574)</f>
        <v>2978114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f>4721+79376</f>
        <v>84097</v>
      </c>
      <c r="G581" s="18"/>
      <c r="H581" s="18"/>
      <c r="I581" s="87">
        <f t="shared" si="47"/>
        <v>84097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2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2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f>146801+5796-25766-46107</f>
        <v>80724</v>
      </c>
      <c r="I590" s="18">
        <v>25766</v>
      </c>
      <c r="J590" s="18">
        <v>46107</v>
      </c>
      <c r="K590" s="104">
        <f t="shared" ref="K590:K596" si="48">SUM(H590:J590)</f>
        <v>152597</v>
      </c>
      <c r="L590" s="24" t="s">
        <v>289</v>
      </c>
      <c r="M590" s="8"/>
      <c r="N590" s="272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/>
      <c r="I591" s="18"/>
      <c r="J591" s="18"/>
      <c r="K591" s="104">
        <f t="shared" si="48"/>
        <v>0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  <c r="N592" s="272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2230</v>
      </c>
      <c r="I594" s="18"/>
      <c r="J594" s="18"/>
      <c r="K594" s="104">
        <f t="shared" si="48"/>
        <v>2230</v>
      </c>
      <c r="L594" s="24" t="s">
        <v>289</v>
      </c>
      <c r="M594" s="8"/>
      <c r="N594" s="272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82954</v>
      </c>
      <c r="I597" s="108">
        <f>SUM(I590:I596)</f>
        <v>25766</v>
      </c>
      <c r="J597" s="108">
        <f>SUM(J590:J596)</f>
        <v>46107</v>
      </c>
      <c r="K597" s="108">
        <f>SUM(K590:K596)</f>
        <v>154827</v>
      </c>
      <c r="L597" s="24" t="s">
        <v>289</v>
      </c>
      <c r="M597" s="8"/>
      <c r="N597" s="272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2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2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2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f>J270+J351</f>
        <v>56851</v>
      </c>
      <c r="I603" s="18"/>
      <c r="J603" s="18"/>
      <c r="K603" s="104">
        <f>SUM(H603:J603)</f>
        <v>56851</v>
      </c>
      <c r="L603" s="24" t="s">
        <v>289</v>
      </c>
      <c r="M603" s="8"/>
      <c r="N603" s="272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56851</v>
      </c>
      <c r="I604" s="108">
        <f>SUM(I601:I603)</f>
        <v>0</v>
      </c>
      <c r="J604" s="108">
        <f>SUM(J601:J603)</f>
        <v>0</v>
      </c>
      <c r="K604" s="108">
        <f>SUM(K601:K603)</f>
        <v>56851</v>
      </c>
      <c r="L604" s="24" t="s">
        <v>289</v>
      </c>
      <c r="M604" s="8"/>
      <c r="N604" s="272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2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2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2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  <c r="N610" s="272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0</v>
      </c>
      <c r="M613" s="8"/>
      <c r="N613" s="272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347127</v>
      </c>
      <c r="H616" s="109">
        <f>SUM(F51)</f>
        <v>347127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3376</v>
      </c>
      <c r="H617" s="109">
        <f>SUM(G51)</f>
        <v>3376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0</v>
      </c>
      <c r="H618" s="109">
        <f>SUM(H51)</f>
        <v>0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484856</v>
      </c>
      <c r="H620" s="109">
        <f>SUM(J51)</f>
        <v>484856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260882</v>
      </c>
      <c r="H621" s="109">
        <f>F475</f>
        <v>260882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8531</v>
      </c>
      <c r="H622" s="109">
        <f>G475</f>
        <v>8531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-19779</v>
      </c>
      <c r="H623" s="109">
        <f>H475</f>
        <v>-19779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484856</v>
      </c>
      <c r="H625" s="109">
        <f>J475</f>
        <v>484856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7682509</v>
      </c>
      <c r="H626" s="104">
        <f>SUM(F467)</f>
        <v>7682509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91798</v>
      </c>
      <c r="H627" s="104">
        <f>SUM(G467)</f>
        <v>91798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34541</v>
      </c>
      <c r="H628" s="104">
        <f>SUM(H467)</f>
        <v>34541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164646</v>
      </c>
      <c r="H630" s="104">
        <f>SUM(J467)</f>
        <v>164646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7609105</v>
      </c>
      <c r="H631" s="104">
        <f>SUM(F471)</f>
        <v>7609105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53159</v>
      </c>
      <c r="H632" s="104">
        <f>SUM(H471)</f>
        <v>53159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32210</v>
      </c>
      <c r="H633" s="104">
        <f>I368</f>
        <v>32210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90330</v>
      </c>
      <c r="H634" s="104">
        <f>SUM(G471)</f>
        <v>90330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60509</v>
      </c>
      <c r="H635" s="104">
        <f>SUM(I471)</f>
        <v>60509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164646</v>
      </c>
      <c r="H636" s="164">
        <f>SUM(J467)</f>
        <v>164646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91615</v>
      </c>
      <c r="H638" s="104">
        <f>SUM(F460)</f>
        <v>91615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378534</v>
      </c>
      <c r="H639" s="104">
        <f>SUM(G460)</f>
        <v>378534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14707</v>
      </c>
      <c r="H640" s="104">
        <f>SUM(H460)</f>
        <v>14707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484856</v>
      </c>
      <c r="H641" s="104">
        <f>SUM(I460)</f>
        <v>484856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646</v>
      </c>
      <c r="H643" s="104">
        <f>H407</f>
        <v>646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164000</v>
      </c>
      <c r="H644" s="104">
        <f>G407</f>
        <v>164000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164646</v>
      </c>
      <c r="H645" s="104">
        <f>L407</f>
        <v>164646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154827</v>
      </c>
      <c r="H646" s="104">
        <f>L207+L225+L243</f>
        <v>154827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56851</v>
      </c>
      <c r="H647" s="104">
        <f>(J256+J337)-(J254+J335)</f>
        <v>56851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82954</v>
      </c>
      <c r="H648" s="104">
        <f>H597</f>
        <v>82954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25766</v>
      </c>
      <c r="H649" s="104">
        <f>I597</f>
        <v>25766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46107</v>
      </c>
      <c r="H650" s="104">
        <f>J597</f>
        <v>46107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5000</v>
      </c>
      <c r="H651" s="104">
        <f>K262+K344</f>
        <v>5000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164000</v>
      </c>
      <c r="H654" s="104">
        <f>K265+K346</f>
        <v>164000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3872281</v>
      </c>
      <c r="G659" s="19">
        <f>(L228+L308+L358)</f>
        <v>1209732</v>
      </c>
      <c r="H659" s="19">
        <f>(L246+L327+L359)</f>
        <v>1840255</v>
      </c>
      <c r="I659" s="19">
        <f>SUM(F659:H659)</f>
        <v>6922268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69935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69935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82954</v>
      </c>
      <c r="G661" s="19">
        <f>(L225+L305)-(J225+J305)</f>
        <v>25766</v>
      </c>
      <c r="H661" s="19">
        <f>(L243+L324)-(J243+J324)</f>
        <v>46107</v>
      </c>
      <c r="I661" s="19">
        <f>SUM(F661:H661)</f>
        <v>154827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140948</v>
      </c>
      <c r="G662" s="199">
        <f>SUM(G574:G586)+SUM(I601:I603)+L611</f>
        <v>1183966</v>
      </c>
      <c r="H662" s="199">
        <f>SUM(H574:H586)+SUM(J601:J603)+L612</f>
        <v>1794148</v>
      </c>
      <c r="I662" s="19">
        <f>SUM(F662:H662)</f>
        <v>3119062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3578444</v>
      </c>
      <c r="G663" s="19">
        <f>G659-SUM(G660:G662)</f>
        <v>0</v>
      </c>
      <c r="H663" s="19">
        <f>H659-SUM(H660:H662)</f>
        <v>0</v>
      </c>
      <c r="I663" s="19">
        <f>I659-SUM(I660:I662)</f>
        <v>3578444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237.79</v>
      </c>
      <c r="G664" s="248"/>
      <c r="H664" s="248"/>
      <c r="I664" s="19">
        <f>SUM(F664:H664)</f>
        <v>237.79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15048.76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15048.76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15048.76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15048.76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20" sqref="C2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Grantham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1101544</v>
      </c>
      <c r="C9" s="229">
        <f>'DOE25'!G196+'DOE25'!G214+'DOE25'!G232+'DOE25'!G275+'DOE25'!G294+'DOE25'!G313</f>
        <v>428684</v>
      </c>
    </row>
    <row r="10" spans="1:3" x14ac:dyDescent="0.2">
      <c r="A10" t="s">
        <v>779</v>
      </c>
      <c r="B10" s="240">
        <f>1060785+7316</f>
        <v>1068101</v>
      </c>
      <c r="C10" s="240">
        <f>210409+13805+5764+67762+15847+14+109929+1353+3800+1-2559</f>
        <v>426125</v>
      </c>
    </row>
    <row r="11" spans="1:3" x14ac:dyDescent="0.2">
      <c r="A11" t="s">
        <v>780</v>
      </c>
      <c r="B11" s="240"/>
      <c r="C11" s="240"/>
    </row>
    <row r="12" spans="1:3" x14ac:dyDescent="0.2">
      <c r="A12" t="s">
        <v>781</v>
      </c>
      <c r="B12" s="240">
        <f>32280+1163</f>
        <v>33443</v>
      </c>
      <c r="C12" s="240">
        <v>2559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1101544</v>
      </c>
      <c r="C13" s="231">
        <f>SUM(C10:C12)</f>
        <v>428684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378390</v>
      </c>
      <c r="C18" s="229">
        <f>'DOE25'!G197+'DOE25'!G215+'DOE25'!G233+'DOE25'!G276+'DOE25'!G295+'DOE25'!G314</f>
        <v>225094</v>
      </c>
    </row>
    <row r="19" spans="1:3" x14ac:dyDescent="0.2">
      <c r="A19" t="s">
        <v>779</v>
      </c>
      <c r="B19" s="240">
        <f>98412+10150+2356+32278</f>
        <v>143196</v>
      </c>
      <c r="C19" s="240">
        <f>225094-117370</f>
        <v>107724</v>
      </c>
    </row>
    <row r="20" spans="1:3" x14ac:dyDescent="0.2">
      <c r="A20" t="s">
        <v>780</v>
      </c>
      <c r="B20" s="240">
        <f>146151</f>
        <v>146151</v>
      </c>
      <c r="C20" s="240">
        <v>96190</v>
      </c>
    </row>
    <row r="21" spans="1:3" x14ac:dyDescent="0.2">
      <c r="A21" t="s">
        <v>781</v>
      </c>
      <c r="B21" s="240">
        <f>43998+45045</f>
        <v>89043</v>
      </c>
      <c r="C21" s="240">
        <v>21180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378390</v>
      </c>
      <c r="C22" s="231">
        <f>SUM(C19:C21)</f>
        <v>225094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0</v>
      </c>
      <c r="C27" s="234">
        <f>'DOE25'!G198+'DOE25'!G216+'DOE25'!G234+'DOE25'!G277+'DOE25'!G296+'DOE25'!G315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0</v>
      </c>
      <c r="C36" s="235">
        <f>'DOE25'!G199+'DOE25'!G217+'DOE25'!G235+'DOE25'!G278+'DOE25'!G297+'DOE25'!G316</f>
        <v>0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F14" sqref="F14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Grantham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5280329</v>
      </c>
      <c r="D5" s="20">
        <f>SUM('DOE25'!L196:L199)+SUM('DOE25'!L214:L217)+SUM('DOE25'!L232:L235)-F5-G5</f>
        <v>5253207</v>
      </c>
      <c r="E5" s="243"/>
      <c r="F5" s="255">
        <f>SUM('DOE25'!J196:J199)+SUM('DOE25'!J214:J217)+SUM('DOE25'!J232:J235)</f>
        <v>27122</v>
      </c>
      <c r="G5" s="53">
        <f>SUM('DOE25'!K196:K199)+SUM('DOE25'!K214:K217)+SUM('DOE25'!K232:K235)</f>
        <v>0</v>
      </c>
      <c r="H5" s="259"/>
    </row>
    <row r="6" spans="1:9" x14ac:dyDescent="0.2">
      <c r="A6" s="32">
        <v>2100</v>
      </c>
      <c r="B6" t="s">
        <v>801</v>
      </c>
      <c r="C6" s="245">
        <f t="shared" si="0"/>
        <v>228066</v>
      </c>
      <c r="D6" s="20">
        <f>'DOE25'!L201+'DOE25'!L219+'DOE25'!L237-F6-G6</f>
        <v>228036</v>
      </c>
      <c r="E6" s="243"/>
      <c r="F6" s="255">
        <f>'DOE25'!J201+'DOE25'!J219+'DOE25'!J237</f>
        <v>0</v>
      </c>
      <c r="G6" s="53">
        <f>'DOE25'!K201+'DOE25'!K219+'DOE25'!K237</f>
        <v>30</v>
      </c>
      <c r="H6" s="259"/>
    </row>
    <row r="7" spans="1:9" x14ac:dyDescent="0.2">
      <c r="A7" s="32">
        <v>2200</v>
      </c>
      <c r="B7" t="s">
        <v>834</v>
      </c>
      <c r="C7" s="245">
        <f t="shared" si="0"/>
        <v>162247</v>
      </c>
      <c r="D7" s="20">
        <f>'DOE25'!L202+'DOE25'!L220+'DOE25'!L238-F7-G7</f>
        <v>142504</v>
      </c>
      <c r="E7" s="243"/>
      <c r="F7" s="255">
        <f>'DOE25'!J202+'DOE25'!J220+'DOE25'!J238</f>
        <v>19743</v>
      </c>
      <c r="G7" s="53">
        <f>'DOE25'!K202+'DOE25'!K220+'DOE25'!K238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102590.33899999999</v>
      </c>
      <c r="D8" s="243"/>
      <c r="E8" s="20">
        <f>'DOE25'!L203+'DOE25'!L221+'DOE25'!L239-F8-G8-D9-D11</f>
        <v>98398.338999999993</v>
      </c>
      <c r="F8" s="255">
        <f>'DOE25'!J203+'DOE25'!J221+'DOE25'!J239</f>
        <v>0</v>
      </c>
      <c r="G8" s="53">
        <f>'DOE25'!K203+'DOE25'!K221+'DOE25'!K239</f>
        <v>4192</v>
      </c>
      <c r="H8" s="259"/>
    </row>
    <row r="9" spans="1:9" x14ac:dyDescent="0.2">
      <c r="A9" s="32">
        <v>2310</v>
      </c>
      <c r="B9" t="s">
        <v>818</v>
      </c>
      <c r="C9" s="245">
        <f t="shared" si="0"/>
        <v>110270</v>
      </c>
      <c r="D9" s="244">
        <v>110270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11000</v>
      </c>
      <c r="D10" s="243"/>
      <c r="E10" s="244">
        <v>11000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101012.66100000001</v>
      </c>
      <c r="D11" s="244">
        <f>((67500+10894)*(1+0.0765+0.08))+9350+1000</f>
        <v>101012.66100000001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247449</v>
      </c>
      <c r="D12" s="20">
        <f>'DOE25'!L204+'DOE25'!L222+'DOE25'!L240-F12-G12</f>
        <v>246964</v>
      </c>
      <c r="E12" s="243"/>
      <c r="F12" s="255">
        <f>'DOE25'!J204+'DOE25'!J222+'DOE25'!J240</f>
        <v>0</v>
      </c>
      <c r="G12" s="53">
        <f>'DOE25'!K204+'DOE25'!K222+'DOE25'!K240</f>
        <v>485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'DOE25'!L205+'DOE25'!L223+'DOE25'!L241-F13-G13</f>
        <v>0</v>
      </c>
      <c r="F13" s="255">
        <f>'DOE25'!J205+'DOE25'!J223+'DOE25'!J241</f>
        <v>0</v>
      </c>
      <c r="G13" s="53">
        <f>'DOE25'!K205+'DOE25'!K223+'DOE25'!K241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391988</v>
      </c>
      <c r="D14" s="20">
        <f>'DOE25'!L206+'DOE25'!L224+'DOE25'!L242-F14-G14</f>
        <v>389326</v>
      </c>
      <c r="E14" s="243"/>
      <c r="F14" s="255">
        <f>'DOE25'!J206+'DOE25'!J224+'DOE25'!J242</f>
        <v>2662</v>
      </c>
      <c r="G14" s="53">
        <f>'DOE25'!K206+'DOE25'!K224+'DOE25'!K242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154827</v>
      </c>
      <c r="D15" s="20">
        <f>'DOE25'!L207+'DOE25'!L225+'DOE25'!L243-F15-G15</f>
        <v>154827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'DOE25'!L208+'DOE25'!L226+'DOE25'!L244-F16-G16</f>
        <v>0</v>
      </c>
      <c r="F16" s="255">
        <f>'DOE25'!J208+'DOE25'!J226+'DOE25'!J244</f>
        <v>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'DOE25'!L254+'DOE25'!L335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661326</v>
      </c>
      <c r="D25" s="243"/>
      <c r="E25" s="243"/>
      <c r="F25" s="258"/>
      <c r="G25" s="256"/>
      <c r="H25" s="257">
        <f>'DOE25'!L259+'DOE25'!L260+'DOE25'!L340+'DOE25'!L341</f>
        <v>661326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59067</v>
      </c>
      <c r="D29" s="20">
        <f>'DOE25'!L357+'DOE25'!L358+'DOE25'!L359-'DOE25'!I366-F29-G29</f>
        <v>58710</v>
      </c>
      <c r="E29" s="243"/>
      <c r="F29" s="255">
        <f>'DOE25'!J357+'DOE25'!J358+'DOE25'!J359</f>
        <v>357</v>
      </c>
      <c r="G29" s="53">
        <f>'DOE25'!K357+'DOE25'!K358+'DOE25'!K359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53159</v>
      </c>
      <c r="D31" s="20">
        <f>'DOE25'!L289+'DOE25'!L308+'DOE25'!L327+'DOE25'!L332+'DOE25'!L333+'DOE25'!L334-F31-G31</f>
        <v>45835</v>
      </c>
      <c r="E31" s="243"/>
      <c r="F31" s="255">
        <f>'DOE25'!J289+'DOE25'!J308+'DOE25'!J327+'DOE25'!J332+'DOE25'!J333+'DOE25'!J334</f>
        <v>7324</v>
      </c>
      <c r="G31" s="53">
        <f>'DOE25'!K289+'DOE25'!K308+'DOE25'!K327+'DOE25'!K332+'DOE25'!K333+'DOE25'!K334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6730691.6610000003</v>
      </c>
      <c r="E33" s="246">
        <f>SUM(E5:E31)</f>
        <v>109398.33899999999</v>
      </c>
      <c r="F33" s="246">
        <f>SUM(F5:F31)</f>
        <v>57208</v>
      </c>
      <c r="G33" s="246">
        <f>SUM(G5:G31)</f>
        <v>4707</v>
      </c>
      <c r="H33" s="246">
        <f>SUM(H5:H31)</f>
        <v>661326</v>
      </c>
    </row>
    <row r="35" spans="2:8" ht="12" thickBot="1" x14ac:dyDescent="0.25">
      <c r="B35" s="253" t="s">
        <v>847</v>
      </c>
      <c r="D35" s="254">
        <f>E33</f>
        <v>109398.33899999999</v>
      </c>
      <c r="E35" s="249"/>
    </row>
    <row r="36" spans="2:8" ht="12" thickTop="1" x14ac:dyDescent="0.2">
      <c r="B36" t="s">
        <v>815</v>
      </c>
      <c r="D36" s="20">
        <f>D33</f>
        <v>6730691.6610000003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67" sqref="A6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Grantham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327770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484856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19357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3376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347127</v>
      </c>
      <c r="D18" s="41">
        <f>SUM(D8:D17)</f>
        <v>3376</v>
      </c>
      <c r="E18" s="41">
        <f>SUM(E8:E17)</f>
        <v>0</v>
      </c>
      <c r="F18" s="41">
        <f>SUM(F8:F17)</f>
        <v>0</v>
      </c>
      <c r="G18" s="41">
        <f>SUM(G8:G17)</f>
        <v>484856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6891</v>
      </c>
      <c r="D21" s="95">
        <f>'DOE25'!G22</f>
        <v>-7313</v>
      </c>
      <c r="E21" s="95">
        <f>'DOE25'!H22</f>
        <v>19779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48780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25360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5214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2158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86245</v>
      </c>
      <c r="D31" s="41">
        <f>SUM(D21:D30)</f>
        <v>-5155</v>
      </c>
      <c r="E31" s="41">
        <f>SUM(E21:E30)</f>
        <v>19779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146685</v>
      </c>
      <c r="D46" s="95">
        <f>'DOE25'!G47</f>
        <v>8531</v>
      </c>
      <c r="E46" s="95">
        <f>'DOE25'!H47</f>
        <v>-19779</v>
      </c>
      <c r="F46" s="95">
        <f>'DOE25'!I47</f>
        <v>0</v>
      </c>
      <c r="G46" s="95">
        <f>'DOE25'!J47</f>
        <v>484856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44513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69684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260882</v>
      </c>
      <c r="D49" s="41">
        <f>SUM(D34:D48)</f>
        <v>8531</v>
      </c>
      <c r="E49" s="41">
        <f>SUM(E34:E48)</f>
        <v>-19779</v>
      </c>
      <c r="F49" s="41">
        <f>SUM(F34:F48)</f>
        <v>0</v>
      </c>
      <c r="G49" s="41">
        <f>SUM(G34:G48)</f>
        <v>484856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347127</v>
      </c>
      <c r="D50" s="41">
        <f>D49+D31</f>
        <v>3376</v>
      </c>
      <c r="E50" s="41">
        <f>E49+E31</f>
        <v>0</v>
      </c>
      <c r="F50" s="41">
        <f>F49+F31</f>
        <v>0</v>
      </c>
      <c r="G50" s="41">
        <f>G49+G31</f>
        <v>484856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6324489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0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1141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646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69935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4235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5376</v>
      </c>
      <c r="D61" s="130">
        <f>SUM(D56:D60)</f>
        <v>69935</v>
      </c>
      <c r="E61" s="130">
        <f>SUM(E56:E60)</f>
        <v>0</v>
      </c>
      <c r="F61" s="130">
        <f>SUM(F56:F60)</f>
        <v>0</v>
      </c>
      <c r="G61" s="130">
        <f>SUM(G56:G60)</f>
        <v>646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6329865</v>
      </c>
      <c r="D62" s="22">
        <f>D55+D61</f>
        <v>69935</v>
      </c>
      <c r="E62" s="22">
        <f>E55+E61</f>
        <v>0</v>
      </c>
      <c r="F62" s="22">
        <f>F55+F61</f>
        <v>0</v>
      </c>
      <c r="G62" s="22">
        <f>G55+G61</f>
        <v>646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11775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1198739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1210514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107513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20243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888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127756</v>
      </c>
      <c r="D77" s="130">
        <f>SUM(D71:D76)</f>
        <v>888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1338270</v>
      </c>
      <c r="D80" s="130">
        <f>SUM(D78:D79)+D77+D69</f>
        <v>888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1290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14374</v>
      </c>
      <c r="D87" s="95">
        <f>SUM('DOE25'!G152:G160)</f>
        <v>15975</v>
      </c>
      <c r="E87" s="95">
        <f>SUM('DOE25'!H152:H160)</f>
        <v>33251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14374</v>
      </c>
      <c r="D90" s="131">
        <f>SUM(D84:D89)</f>
        <v>15975</v>
      </c>
      <c r="E90" s="131">
        <f>SUM(E84:E89)</f>
        <v>34541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5000</v>
      </c>
      <c r="E95" s="95">
        <f>'DOE25'!H178</f>
        <v>0</v>
      </c>
      <c r="F95" s="95">
        <f>'DOE25'!I178</f>
        <v>0</v>
      </c>
      <c r="G95" s="95">
        <f>'DOE25'!J178</f>
        <v>164000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5000</v>
      </c>
      <c r="E102" s="86">
        <f>SUM(E92:E101)</f>
        <v>0</v>
      </c>
      <c r="F102" s="86">
        <f>SUM(F92:F101)</f>
        <v>0</v>
      </c>
      <c r="G102" s="86">
        <f>SUM(G92:G101)</f>
        <v>164000</v>
      </c>
    </row>
    <row r="103" spans="1:7" ht="12.75" thickTop="1" thickBot="1" x14ac:dyDescent="0.25">
      <c r="A103" s="33" t="s">
        <v>765</v>
      </c>
      <c r="C103" s="86">
        <f>C62+C80+C90+C102</f>
        <v>7682509</v>
      </c>
      <c r="D103" s="86">
        <f>D62+D80+D90+D102</f>
        <v>91798</v>
      </c>
      <c r="E103" s="86">
        <f>E62+E80+E90+E102</f>
        <v>34541</v>
      </c>
      <c r="F103" s="86">
        <f>F62+F80+F90+F102</f>
        <v>0</v>
      </c>
      <c r="G103" s="86">
        <f>G62+G80+G102</f>
        <v>164646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4614932</v>
      </c>
      <c r="D108" s="24" t="s">
        <v>289</v>
      </c>
      <c r="E108" s="95">
        <f>('DOE25'!L275)+('DOE25'!L294)+('DOE25'!L313)</f>
        <v>9123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665397</v>
      </c>
      <c r="D109" s="24" t="s">
        <v>289</v>
      </c>
      <c r="E109" s="95">
        <f>('DOE25'!L276)+('DOE25'!L295)+('DOE25'!L314)</f>
        <v>36186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0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5280329</v>
      </c>
      <c r="D114" s="86">
        <f>SUM(D108:D113)</f>
        <v>0</v>
      </c>
      <c r="E114" s="86">
        <f>SUM(E108:E113)</f>
        <v>45309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228066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162247</v>
      </c>
      <c r="D118" s="24" t="s">
        <v>289</v>
      </c>
      <c r="E118" s="95">
        <f>+('DOE25'!L281)+('DOE25'!L300)+('DOE25'!L319)</f>
        <v>7850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313873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247449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391988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154827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90330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1498450</v>
      </c>
      <c r="D127" s="86">
        <f>SUM(D117:D126)</f>
        <v>90330</v>
      </c>
      <c r="E127" s="86">
        <f>SUM(E117:E126)</f>
        <v>7850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60509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353657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307669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5000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164646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-646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830326</v>
      </c>
      <c r="D143" s="141">
        <f>SUM(D129:D142)</f>
        <v>0</v>
      </c>
      <c r="E143" s="141">
        <f>SUM(E129:E142)</f>
        <v>0</v>
      </c>
      <c r="F143" s="141">
        <f>SUM(F129:F142)</f>
        <v>60509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7609105</v>
      </c>
      <c r="D144" s="86">
        <f>(D114+D127+D143)</f>
        <v>90330</v>
      </c>
      <c r="E144" s="86">
        <f>(E114+E127+E143)</f>
        <v>53159</v>
      </c>
      <c r="F144" s="86">
        <f>(F114+F127+F143)</f>
        <v>60509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20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12/08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01/29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7150000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5.0999999999999996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6030000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6030000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353657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353657</v>
      </c>
    </row>
    <row r="158" spans="1:9" x14ac:dyDescent="0.2">
      <c r="A158" s="22" t="s">
        <v>35</v>
      </c>
      <c r="B158" s="137">
        <f>'DOE25'!F497</f>
        <v>5676343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5676343</v>
      </c>
    </row>
    <row r="159" spans="1:9" x14ac:dyDescent="0.2">
      <c r="A159" s="22" t="s">
        <v>36</v>
      </c>
      <c r="B159" s="137">
        <f>'DOE25'!F498</f>
        <v>2586357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2586357</v>
      </c>
    </row>
    <row r="160" spans="1:9" x14ac:dyDescent="0.2">
      <c r="A160" s="22" t="s">
        <v>37</v>
      </c>
      <c r="B160" s="137">
        <f>'DOE25'!F499</f>
        <v>8262700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8262700</v>
      </c>
    </row>
    <row r="161" spans="1:7" x14ac:dyDescent="0.2">
      <c r="A161" s="22" t="s">
        <v>38</v>
      </c>
      <c r="B161" s="137">
        <f>'DOE25'!F500</f>
        <v>355000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355000</v>
      </c>
    </row>
    <row r="162" spans="1:7" x14ac:dyDescent="0.2">
      <c r="A162" s="22" t="s">
        <v>39</v>
      </c>
      <c r="B162" s="137">
        <f>'DOE25'!F501</f>
        <v>291694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291694</v>
      </c>
    </row>
    <row r="163" spans="1:7" x14ac:dyDescent="0.2">
      <c r="A163" s="22" t="s">
        <v>246</v>
      </c>
      <c r="B163" s="137">
        <f>'DOE25'!F502</f>
        <v>646694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646694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C4" sqref="C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Grantham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15049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0</v>
      </c>
    </row>
    <row r="7" spans="1:4" x14ac:dyDescent="0.2">
      <c r="B7" t="s">
        <v>705</v>
      </c>
      <c r="C7" s="179">
        <f>IF('DOE25'!I664+'DOE25'!I669=0,0,ROUND('DOE25'!I671,0))</f>
        <v>15049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4624055</v>
      </c>
      <c r="D10" s="182">
        <f>ROUND((C10/$C$28)*100,1)</f>
        <v>64.599999999999994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701583</v>
      </c>
      <c r="D11" s="182">
        <f>ROUND((C11/$C$28)*100,1)</f>
        <v>9.8000000000000007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228066</v>
      </c>
      <c r="D15" s="182">
        <f t="shared" ref="D15:D27" si="0">ROUND((C15/$C$28)*100,1)</f>
        <v>3.2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170097</v>
      </c>
      <c r="D16" s="182">
        <f t="shared" si="0"/>
        <v>2.4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313873</v>
      </c>
      <c r="D17" s="182">
        <f t="shared" si="0"/>
        <v>4.4000000000000004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247449</v>
      </c>
      <c r="D18" s="182">
        <f t="shared" si="0"/>
        <v>3.5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391988</v>
      </c>
      <c r="D20" s="182">
        <f t="shared" si="0"/>
        <v>5.5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154827</v>
      </c>
      <c r="D21" s="182">
        <f t="shared" si="0"/>
        <v>2.2000000000000002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307669</v>
      </c>
      <c r="D25" s="182">
        <f t="shared" si="0"/>
        <v>4.3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20395</v>
      </c>
      <c r="D27" s="182">
        <f t="shared" si="0"/>
        <v>0.3</v>
      </c>
    </row>
    <row r="28" spans="1:4" x14ac:dyDescent="0.2">
      <c r="B28" s="187" t="s">
        <v>723</v>
      </c>
      <c r="C28" s="180">
        <f>SUM(C10:C27)</f>
        <v>7160002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60509</v>
      </c>
    </row>
    <row r="30" spans="1:4" x14ac:dyDescent="0.2">
      <c r="B30" s="187" t="s">
        <v>729</v>
      </c>
      <c r="C30" s="180">
        <f>SUM(C28:C29)</f>
        <v>7220511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353657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6324489</v>
      </c>
      <c r="D35" s="182">
        <f t="shared" ref="D35:D40" si="1">ROUND((C35/$C$41)*100,1)</f>
        <v>81.8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6022</v>
      </c>
      <c r="D36" s="182">
        <f t="shared" si="1"/>
        <v>0.1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1210514</v>
      </c>
      <c r="D37" s="182">
        <f t="shared" si="1"/>
        <v>15.7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128644</v>
      </c>
      <c r="D38" s="182">
        <f t="shared" si="1"/>
        <v>1.7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64890</v>
      </c>
      <c r="D39" s="182">
        <f t="shared" si="1"/>
        <v>0.8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7734559</v>
      </c>
      <c r="D41" s="184">
        <f>SUM(D35:D40)</f>
        <v>100.1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Grantham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B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2013-09-13T13:37:38Z</cp:lastPrinted>
  <dcterms:created xsi:type="dcterms:W3CDTF">1997-12-04T19:04:30Z</dcterms:created>
  <dcterms:modified xsi:type="dcterms:W3CDTF">2013-09-13T13:40:08Z</dcterms:modified>
</cp:coreProperties>
</file>