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-45" yWindow="255" windowWidth="12495" windowHeight="642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4" i="1" l="1"/>
  <c r="F467" i="1"/>
  <c r="G252" i="1"/>
  <c r="F252" i="1"/>
  <c r="F469" i="1"/>
  <c r="F95" i="1"/>
  <c r="F62" i="1"/>
  <c r="F78" i="1" s="1"/>
  <c r="F111" i="1" s="1"/>
  <c r="G14" i="1"/>
  <c r="H154" i="1"/>
  <c r="H153" i="1"/>
  <c r="H109" i="1"/>
  <c r="G96" i="1"/>
  <c r="G157" i="1"/>
  <c r="G110" i="1"/>
  <c r="F9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E16" i="13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D6" i="13" s="1"/>
  <c r="C6" i="13" s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L246" i="1" s="1"/>
  <c r="F17" i="13"/>
  <c r="G17" i="13"/>
  <c r="L250" i="1"/>
  <c r="F18" i="13"/>
  <c r="G18" i="13"/>
  <c r="L251" i="1"/>
  <c r="F19" i="13"/>
  <c r="G19" i="13"/>
  <c r="L252" i="1"/>
  <c r="C113" i="2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308" i="1" s="1"/>
  <c r="L299" i="1"/>
  <c r="L300" i="1"/>
  <c r="L301" i="1"/>
  <c r="L302" i="1"/>
  <c r="L303" i="1"/>
  <c r="L304" i="1"/>
  <c r="L305" i="1"/>
  <c r="L306" i="1"/>
  <c r="L313" i="1"/>
  <c r="E108" i="2" s="1"/>
  <c r="L314" i="1"/>
  <c r="L315" i="1"/>
  <c r="L316" i="1"/>
  <c r="L318" i="1"/>
  <c r="E117" i="2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B39" i="12" s="1"/>
  <c r="B40" i="12" s="1"/>
  <c r="C36" i="12"/>
  <c r="B27" i="12"/>
  <c r="C27" i="12"/>
  <c r="B31" i="12"/>
  <c r="C31" i="12"/>
  <c r="B9" i="12"/>
  <c r="B12" i="12" s="1"/>
  <c r="B13" i="12" s="1"/>
  <c r="C9" i="12"/>
  <c r="B18" i="12"/>
  <c r="B21" i="12" s="1"/>
  <c r="B22" i="12" s="1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/>
  <c r="L611" i="1"/>
  <c r="G662" i="1"/>
  <c r="L610" i="1"/>
  <c r="F662" i="1"/>
  <c r="C40" i="10"/>
  <c r="F59" i="1"/>
  <c r="G59" i="1"/>
  <c r="G111" i="1" s="1"/>
  <c r="H59" i="1"/>
  <c r="I59" i="1"/>
  <c r="F93" i="1"/>
  <c r="F110" i="1"/>
  <c r="H78" i="1"/>
  <c r="H93" i="1"/>
  <c r="H110" i="1"/>
  <c r="H111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5" i="10"/>
  <c r="C18" i="10"/>
  <c r="C19" i="10"/>
  <c r="C20" i="10"/>
  <c r="L249" i="1"/>
  <c r="L331" i="1"/>
  <c r="C23" i="10" s="1"/>
  <c r="L253" i="1"/>
  <c r="C25" i="10"/>
  <c r="L267" i="1"/>
  <c r="L268" i="1"/>
  <c r="L348" i="1"/>
  <c r="L349" i="1"/>
  <c r="I664" i="1"/>
  <c r="I669" i="1"/>
  <c r="F660" i="1"/>
  <c r="H660" i="1"/>
  <c r="F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K549" i="1" s="1"/>
  <c r="L522" i="1"/>
  <c r="F550" i="1"/>
  <c r="L525" i="1"/>
  <c r="G548" i="1"/>
  <c r="L526" i="1"/>
  <c r="G549" i="1"/>
  <c r="L527" i="1"/>
  <c r="G550" i="1" s="1"/>
  <c r="K550" i="1" s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 s="1"/>
  <c r="C9" i="2"/>
  <c r="D9" i="2"/>
  <c r="E9" i="2"/>
  <c r="F9" i="2"/>
  <c r="I439" i="1"/>
  <c r="J10" i="1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D31" i="2" s="1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I458" i="1"/>
  <c r="J47" i="1"/>
  <c r="C48" i="2"/>
  <c r="C55" i="2"/>
  <c r="D55" i="2"/>
  <c r="E55" i="2"/>
  <c r="F55" i="2"/>
  <c r="E56" i="2"/>
  <c r="C57" i="2"/>
  <c r="E57" i="2"/>
  <c r="C58" i="2"/>
  <c r="D58" i="2"/>
  <c r="E58" i="2"/>
  <c r="E61" i="2" s="1"/>
  <c r="E62" i="2" s="1"/>
  <c r="F58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D80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C111" i="2"/>
  <c r="E111" i="2"/>
  <c r="C112" i="2"/>
  <c r="E112" i="2"/>
  <c r="E113" i="2"/>
  <c r="D114" i="2"/>
  <c r="F114" i="2"/>
  <c r="G114" i="2"/>
  <c r="C117" i="2"/>
  <c r="E118" i="2"/>
  <c r="E119" i="2"/>
  <c r="C120" i="2"/>
  <c r="E120" i="2"/>
  <c r="C121" i="2"/>
  <c r="E121" i="2"/>
  <c r="C122" i="2"/>
  <c r="E122" i="2"/>
  <c r="E123" i="2"/>
  <c r="C124" i="2"/>
  <c r="E124" i="2"/>
  <c r="D126" i="2"/>
  <c r="D127" i="2"/>
  <c r="D144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H50" i="1"/>
  <c r="H51" i="1"/>
  <c r="H618" i="1" s="1"/>
  <c r="I50" i="1"/>
  <c r="I51" i="1"/>
  <c r="H619" i="1" s="1"/>
  <c r="F176" i="1"/>
  <c r="I176" i="1"/>
  <c r="F182" i="1"/>
  <c r="G182" i="1"/>
  <c r="G191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I256" i="1"/>
  <c r="I270" i="1" s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F337" i="1"/>
  <c r="F351" i="1" s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460" i="1"/>
  <c r="I460" i="1"/>
  <c r="G469" i="1"/>
  <c r="H469" i="1"/>
  <c r="I469" i="1"/>
  <c r="I475" i="1" s="1"/>
  <c r="H624" i="1" s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G544" i="1" s="1"/>
  <c r="H523" i="1"/>
  <c r="I523" i="1"/>
  <c r="J523" i="1"/>
  <c r="K523" i="1"/>
  <c r="L523" i="1"/>
  <c r="F528" i="1"/>
  <c r="F544" i="1" s="1"/>
  <c r="G528" i="1"/>
  <c r="H528" i="1"/>
  <c r="I528" i="1"/>
  <c r="J528" i="1"/>
  <c r="K528" i="1"/>
  <c r="F533" i="1"/>
  <c r="G533" i="1"/>
  <c r="H533" i="1"/>
  <c r="I533" i="1"/>
  <c r="J533" i="1"/>
  <c r="K533" i="1"/>
  <c r="K544" i="1" s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7" i="1" s="1"/>
  <c r="G646" i="1" s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G621" i="1"/>
  <c r="G622" i="1"/>
  <c r="G623" i="1"/>
  <c r="G624" i="1"/>
  <c r="J624" i="1" s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H641" i="1"/>
  <c r="G642" i="1"/>
  <c r="H642" i="1"/>
  <c r="G643" i="1"/>
  <c r="H643" i="1"/>
  <c r="G644" i="1"/>
  <c r="H644" i="1"/>
  <c r="G648" i="1"/>
  <c r="G650" i="1"/>
  <c r="G651" i="1"/>
  <c r="H651" i="1"/>
  <c r="J651" i="1"/>
  <c r="G652" i="1"/>
  <c r="H652" i="1"/>
  <c r="G653" i="1"/>
  <c r="H653" i="1"/>
  <c r="H654" i="1"/>
  <c r="F191" i="1"/>
  <c r="G159" i="2"/>
  <c r="C18" i="2"/>
  <c r="F31" i="2"/>
  <c r="C26" i="10"/>
  <c r="L350" i="1"/>
  <c r="A31" i="12"/>
  <c r="C69" i="2"/>
  <c r="D12" i="13"/>
  <c r="C12" i="13"/>
  <c r="G161" i="2"/>
  <c r="E49" i="2"/>
  <c r="E50" i="2" s="1"/>
  <c r="D18" i="13"/>
  <c r="C18" i="13"/>
  <c r="F102" i="2"/>
  <c r="D18" i="2"/>
  <c r="E18" i="2"/>
  <c r="D17" i="13"/>
  <c r="C17" i="13" s="1"/>
  <c r="E8" i="13"/>
  <c r="C8" i="13" s="1"/>
  <c r="G158" i="2"/>
  <c r="C90" i="2"/>
  <c r="F77" i="2"/>
  <c r="F80" i="2"/>
  <c r="F61" i="2"/>
  <c r="F62" i="2"/>
  <c r="F103" i="2" s="1"/>
  <c r="C77" i="2"/>
  <c r="D49" i="2"/>
  <c r="D50" i="2" s="1"/>
  <c r="G156" i="2"/>
  <c r="F49" i="2"/>
  <c r="F50" i="2"/>
  <c r="F18" i="2"/>
  <c r="G162" i="2"/>
  <c r="G157" i="2"/>
  <c r="G155" i="2"/>
  <c r="E143" i="2"/>
  <c r="G102" i="2"/>
  <c r="E102" i="2"/>
  <c r="C102" i="2"/>
  <c r="D90" i="2"/>
  <c r="F90" i="2"/>
  <c r="E31" i="2"/>
  <c r="G61" i="2"/>
  <c r="D29" i="13"/>
  <c r="C29" i="13"/>
  <c r="D14" i="13"/>
  <c r="C14" i="13"/>
  <c r="E13" i="13"/>
  <c r="C13" i="13"/>
  <c r="E77" i="2"/>
  <c r="E80" i="2"/>
  <c r="L426" i="1"/>
  <c r="J256" i="1"/>
  <c r="J270" i="1" s="1"/>
  <c r="J640" i="1"/>
  <c r="J638" i="1"/>
  <c r="K604" i="1"/>
  <c r="G647" i="1" s="1"/>
  <c r="J570" i="1"/>
  <c r="K570" i="1"/>
  <c r="L432" i="1"/>
  <c r="L418" i="1"/>
  <c r="I168" i="1"/>
  <c r="H168" i="1"/>
  <c r="J643" i="1"/>
  <c r="J642" i="1"/>
  <c r="J475" i="1"/>
  <c r="H625" i="1"/>
  <c r="H475" i="1"/>
  <c r="H623" i="1" s="1"/>
  <c r="J623" i="1" s="1"/>
  <c r="G475" i="1"/>
  <c r="H622" i="1"/>
  <c r="J622" i="1" s="1"/>
  <c r="G337" i="1"/>
  <c r="G351" i="1" s="1"/>
  <c r="F168" i="1"/>
  <c r="J139" i="1"/>
  <c r="J192" i="1" s="1"/>
  <c r="F570" i="1"/>
  <c r="C29" i="10"/>
  <c r="H139" i="1"/>
  <c r="L400" i="1"/>
  <c r="C138" i="2" s="1"/>
  <c r="L392" i="1"/>
  <c r="C137" i="2" s="1"/>
  <c r="F22" i="13"/>
  <c r="C22" i="13"/>
  <c r="H25" i="13"/>
  <c r="C25" i="13"/>
  <c r="J639" i="1"/>
  <c r="J633" i="1"/>
  <c r="H570" i="1"/>
  <c r="L559" i="1"/>
  <c r="J544" i="1"/>
  <c r="H191" i="1"/>
  <c r="C35" i="10"/>
  <c r="C49" i="2"/>
  <c r="J654" i="1"/>
  <c r="J644" i="1"/>
  <c r="L569" i="1"/>
  <c r="I570" i="1"/>
  <c r="I544" i="1"/>
  <c r="G36" i="2"/>
  <c r="L564" i="1"/>
  <c r="H544" i="1"/>
  <c r="H33" i="13"/>
  <c r="C24" i="10"/>
  <c r="G31" i="13"/>
  <c r="I337" i="1"/>
  <c r="I351" i="1"/>
  <c r="L406" i="1"/>
  <c r="C139" i="2"/>
  <c r="L570" i="1"/>
  <c r="I191" i="1"/>
  <c r="E90" i="2"/>
  <c r="L407" i="1"/>
  <c r="G636" i="1"/>
  <c r="J636" i="1" s="1"/>
  <c r="J653" i="1"/>
  <c r="J652" i="1"/>
  <c r="G21" i="2"/>
  <c r="G31" i="2" s="1"/>
  <c r="J32" i="1"/>
  <c r="L433" i="1"/>
  <c r="G637" i="1"/>
  <c r="J637" i="1" s="1"/>
  <c r="J433" i="1"/>
  <c r="F433" i="1"/>
  <c r="K433" i="1"/>
  <c r="G133" i="2" s="1"/>
  <c r="G143" i="2" s="1"/>
  <c r="G144" i="2" s="1"/>
  <c r="F31" i="13"/>
  <c r="F33" i="13" s="1"/>
  <c r="G168" i="1"/>
  <c r="C39" i="10"/>
  <c r="G139" i="1"/>
  <c r="G62" i="2"/>
  <c r="G103" i="2" s="1"/>
  <c r="G42" i="2"/>
  <c r="G16" i="2"/>
  <c r="H433" i="1"/>
  <c r="J619" i="1"/>
  <c r="D102" i="2"/>
  <c r="I139" i="1"/>
  <c r="G570" i="1"/>
  <c r="I433" i="1"/>
  <c r="G433" i="1"/>
  <c r="E103" i="2"/>
  <c r="H192" i="1"/>
  <c r="G628" i="1"/>
  <c r="J628" i="1" s="1"/>
  <c r="G192" i="1"/>
  <c r="G627" i="1" s="1"/>
  <c r="J627" i="1" s="1"/>
  <c r="D59" i="2"/>
  <c r="D61" i="2"/>
  <c r="D62" i="2" s="1"/>
  <c r="D103" i="2"/>
  <c r="G660" i="1"/>
  <c r="I660" i="1"/>
  <c r="G51" i="1"/>
  <c r="H617" i="1"/>
  <c r="J617" i="1" s="1"/>
  <c r="C80" i="2"/>
  <c r="F139" i="1"/>
  <c r="C38" i="10"/>
  <c r="F51" i="1"/>
  <c r="H616" i="1"/>
  <c r="C31" i="2"/>
  <c r="G46" i="2"/>
  <c r="G49" i="2" s="1"/>
  <c r="G50" i="2" s="1"/>
  <c r="J50" i="1"/>
  <c r="J641" i="1"/>
  <c r="G9" i="2"/>
  <c r="G18" i="2"/>
  <c r="J19" i="1"/>
  <c r="G620" i="1"/>
  <c r="H645" i="1"/>
  <c r="L361" i="1"/>
  <c r="G634" i="1" s="1"/>
  <c r="J634" i="1" s="1"/>
  <c r="H337" i="1"/>
  <c r="H351" i="1"/>
  <c r="L289" i="1"/>
  <c r="E127" i="2"/>
  <c r="L327" i="1"/>
  <c r="L337" i="1" s="1"/>
  <c r="L351" i="1" s="1"/>
  <c r="G632" i="1" s="1"/>
  <c r="J632" i="1" s="1"/>
  <c r="E114" i="2"/>
  <c r="E144" i="2" s="1"/>
  <c r="L255" i="1"/>
  <c r="C108" i="2"/>
  <c r="C16" i="13"/>
  <c r="C17" i="10"/>
  <c r="C119" i="2"/>
  <c r="C118" i="2"/>
  <c r="C11" i="10"/>
  <c r="K256" i="1"/>
  <c r="K270" i="1" s="1"/>
  <c r="H256" i="1"/>
  <c r="H270" i="1" s="1"/>
  <c r="F256" i="1"/>
  <c r="F270" i="1" s="1"/>
  <c r="G33" i="13"/>
  <c r="H647" i="1"/>
  <c r="D19" i="13"/>
  <c r="C19" i="13" s="1"/>
  <c r="C109" i="2"/>
  <c r="D5" i="13"/>
  <c r="C5" i="13"/>
  <c r="L210" i="1"/>
  <c r="F659" i="1"/>
  <c r="G625" i="1"/>
  <c r="J625" i="1" s="1"/>
  <c r="J51" i="1"/>
  <c r="H620" i="1" s="1"/>
  <c r="J620" i="1" s="1"/>
  <c r="C27" i="10"/>
  <c r="D31" i="13"/>
  <c r="C31" i="13" s="1"/>
  <c r="I192" i="1"/>
  <c r="G629" i="1" s="1"/>
  <c r="J629" i="1" s="1"/>
  <c r="F551" i="1"/>
  <c r="J551" i="1"/>
  <c r="I551" i="1"/>
  <c r="L538" i="1"/>
  <c r="H551" i="1"/>
  <c r="L533" i="1"/>
  <c r="J648" i="1"/>
  <c r="I662" i="1"/>
  <c r="J650" i="1"/>
  <c r="L528" i="1"/>
  <c r="L544" i="1" s="1"/>
  <c r="K548" i="1"/>
  <c r="K551" i="1" s="1"/>
  <c r="G551" i="1"/>
  <c r="G661" i="1"/>
  <c r="C21" i="10"/>
  <c r="D15" i="13"/>
  <c r="G649" i="1"/>
  <c r="J649" i="1" s="1"/>
  <c r="H646" i="1"/>
  <c r="J646" i="1" s="1"/>
  <c r="H659" i="1"/>
  <c r="H663" i="1" s="1"/>
  <c r="C123" i="2"/>
  <c r="H661" i="1"/>
  <c r="I661" i="1"/>
  <c r="C15" i="13"/>
  <c r="E33" i="13"/>
  <c r="D35" i="13" s="1"/>
  <c r="C37" i="12"/>
  <c r="C39" i="12" s="1"/>
  <c r="C40" i="12" s="1"/>
  <c r="A40" i="12" s="1"/>
  <c r="C114" i="2"/>
  <c r="C56" i="2"/>
  <c r="C61" i="2" s="1"/>
  <c r="D7" i="13"/>
  <c r="C7" i="13" s="1"/>
  <c r="C16" i="10"/>
  <c r="C20" i="12"/>
  <c r="C19" i="12"/>
  <c r="C11" i="12"/>
  <c r="C10" i="12"/>
  <c r="C12" i="12" s="1"/>
  <c r="C13" i="12" s="1"/>
  <c r="A13" i="12" s="1"/>
  <c r="F475" i="1"/>
  <c r="H621" i="1"/>
  <c r="J621" i="1" s="1"/>
  <c r="H626" i="1"/>
  <c r="F192" i="1"/>
  <c r="G626" i="1" s="1"/>
  <c r="C36" i="10"/>
  <c r="D36" i="10" s="1"/>
  <c r="C41" i="10"/>
  <c r="D38" i="10" s="1"/>
  <c r="D37" i="10"/>
  <c r="D40" i="10"/>
  <c r="J616" i="1"/>
  <c r="C127" i="2"/>
  <c r="C6" i="10"/>
  <c r="G256" i="1"/>
  <c r="G270" i="1"/>
  <c r="L228" i="1"/>
  <c r="G659" i="1"/>
  <c r="G663" i="1" s="1"/>
  <c r="C21" i="12"/>
  <c r="C22" i="12"/>
  <c r="A22" i="12" s="1"/>
  <c r="C10" i="10"/>
  <c r="D10" i="10" s="1"/>
  <c r="D33" i="13"/>
  <c r="D36" i="13" s="1"/>
  <c r="F663" i="1"/>
  <c r="C28" i="10"/>
  <c r="D17" i="10" s="1"/>
  <c r="L256" i="1"/>
  <c r="L270" i="1"/>
  <c r="G631" i="1" s="1"/>
  <c r="J631" i="1" s="1"/>
  <c r="I659" i="1"/>
  <c r="I663" i="1" s="1"/>
  <c r="D22" i="10"/>
  <c r="D13" i="10"/>
  <c r="D23" i="10"/>
  <c r="D11" i="10"/>
  <c r="D24" i="10"/>
  <c r="D25" i="10"/>
  <c r="D15" i="10"/>
  <c r="D19" i="10"/>
  <c r="D18" i="10"/>
  <c r="F666" i="1"/>
  <c r="F671" i="1"/>
  <c r="C4" i="10"/>
  <c r="G645" i="1"/>
  <c r="J645" i="1" s="1"/>
  <c r="G630" i="1"/>
  <c r="J630" i="1" s="1"/>
  <c r="I666" i="1" l="1"/>
  <c r="I671" i="1"/>
  <c r="C7" i="10" s="1"/>
  <c r="G671" i="1"/>
  <c r="C5" i="10" s="1"/>
  <c r="G666" i="1"/>
  <c r="J626" i="1"/>
  <c r="H655" i="1"/>
  <c r="H671" i="1"/>
  <c r="H666" i="1"/>
  <c r="C50" i="2"/>
  <c r="C140" i="2"/>
  <c r="G160" i="2"/>
  <c r="D21" i="10"/>
  <c r="D27" i="10"/>
  <c r="D20" i="10"/>
  <c r="D12" i="10"/>
  <c r="D28" i="10" s="1"/>
  <c r="D16" i="10"/>
  <c r="D26" i="10"/>
  <c r="C30" i="10"/>
  <c r="D39" i="10"/>
  <c r="D35" i="10"/>
  <c r="J647" i="1"/>
  <c r="G163" i="2"/>
  <c r="C143" i="2"/>
  <c r="C144" i="2" s="1"/>
  <c r="C62" i="2"/>
  <c r="C103" i="2" s="1"/>
  <c r="F143" i="2"/>
  <c r="F144" i="2" s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<sst xmlns="http://schemas.openxmlformats.org/spreadsheetml/2006/main" count="3944" uniqueCount="910">
  <si>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</si>
  <si>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</si>
  <si>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</si>
  <si>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</si>
  <si>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</si>
  <si>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</si>
  <si>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</si>
  <si>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</si>
  <si>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</si>
  <si>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</si>
  <si>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</si>
  <si>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</si>
  <si>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</si>
  <si>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</si>
  <si>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</si>
  <si>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</si>
  <si>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</si>
  <si>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</si>
  <si>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</si>
  <si>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</si>
  <si>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</si>
  <si>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</si>
  <si>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</si>
  <si>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</si>
  <si>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</si>
  <si>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</si>
  <si>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</si>
  <si>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</si>
  <si>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</si>
  <si>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</si>
  <si>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</si>
  <si>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</si>
  <si>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</si>
  <si>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</si>
  <si>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</si>
  <si>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</si>
  <si>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</si>
  <si>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</si>
  <si>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</si>
  <si>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</si>
  <si>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</si>
  <si>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</si>
  <si>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</si>
  <si>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</si>
  <si>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</si>
  <si>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</si>
  <si>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</si>
  <si>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</si>
  <si>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</si>
  <si>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</si>
  <si>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</si>
  <si>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</si>
  <si>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</si>
  <si>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</si>
  <si>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</si>
  <si>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</si>
  <si>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</si>
  <si>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</si>
  <si>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</si>
  <si>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</si>
  <si>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</si>
  <si>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</si>
  <si>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</si>
  <si>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</si>
  <si>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</si>
  <si>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</si>
  <si>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</si>
  <si>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</si>
  <si>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</si>
  <si>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</si>
  <si>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</si>
  <si>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</si>
  <si>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</si>
  <si>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</si>
  <si>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</si>
  <si>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</si>
  <si>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</si>
  <si>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</si>
  <si>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</si>
  <si>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</si>
  <si>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</si>
  <si>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</si>
  <si>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</si>
  <si>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</si>
  <si>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</si>
  <si>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</si>
  <si>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</si>
  <si>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</si>
  <si>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</si>
  <si>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</si>
  <si>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</si>
  <si>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</si>
  <si>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</si>
  <si>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</si>
  <si>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</si>
  <si>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</si>
  <si>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</si>
  <si>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</si>
  <si>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</si>
  <si>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</si>
  <si>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</si>
  <si>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</si>
  <si>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</si>
  <si>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</si>
  <si>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</si>
  <si>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</si>
  <si>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</si>
  <si>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</si>
  <si>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</si>
  <si>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</si>
  <si>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</si>
  <si>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</si>
  <si>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</si>
  <si>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</si>
  <si>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</si>
  <si>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</si>
  <si>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</si>
  <si>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</si>
  <si>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</si>
  <si>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</si>
  <si>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</si>
  <si>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</si>
  <si>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</si>
  <si>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</si>
  <si>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</si>
  <si>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</si>
  <si>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</si>
  <si>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</si>
  <si>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</si>
  <si>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</si>
  <si>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</si>
  <si>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</si>
  <si>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</si>
  <si>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</si>
  <si>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</si>
  <si>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</si>
  <si>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</si>
  <si>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</si>
  <si>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</si>
  <si>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</si>
  <si>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</si>
  <si>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</si>
  <si>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</si>
  <si>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</si>
  <si>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</si>
  <si>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</si>
  <si>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</si>
  <si>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</si>
  <si>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</si>
  <si>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</si>
  <si>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</si>
  <si>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</si>
  <si>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</si>
  <si>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</si>
  <si>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</si>
  <si>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</si>
  <si>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</si>
  <si>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</si>
  <si>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</si>
  <si>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</si>
  <si>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</si>
  <si>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</si>
  <si>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</si>
  <si>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</si>
  <si>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</si>
  <si>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</si>
  <si>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</si>
  <si>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</si>
  <si>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</si>
  <si>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</si>
  <si>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</si>
  <si>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</si>
  <si>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</si>
  <si>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</si>
  <si>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</si>
  <si>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</si>
  <si>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</si>
  <si>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</si>
  <si>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</si>
  <si>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</si>
  <si>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</si>
  <si>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</si>
  <si>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</si>
  <si>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</si>
  <si>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</si>
  <si>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</si>
  <si>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</si>
  <si>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</si>
  <si>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</si>
  <si>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</si>
  <si>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</si>
  <si>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</si>
  <si>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</si>
  <si>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</si>
  <si>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</si>
  <si>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</si>
  <si>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</si>
  <si>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</si>
  <si>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</si>
  <si>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</si>
  <si>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</si>
  <si>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</si>
  <si>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</si>
  <si>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</si>
  <si>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</si>
  <si>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</si>
  <si>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</si>
  <si>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</si>
  <si>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</si>
  <si>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</si>
  <si>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</si>
  <si>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</si>
  <si>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</si>
  <si>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</si>
  <si>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</si>
  <si>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</si>
  <si>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</si>
  <si>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</si>
  <si>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</si>
  <si>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</si>
  <si>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</si>
  <si>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</si>
  <si>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</si>
  <si>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</si>
  <si>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</si>
  <si>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</si>
  <si>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</si>
  <si>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</si>
  <si>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</si>
  <si>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</si>
  <si>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</si>
  <si>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</si>
  <si>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</si>
  <si>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</si>
  <si>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</si>
  <si>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</si>
  <si>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</si>
  <si>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</si>
  <si>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</si>
  <si>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</si>
  <si>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</si>
  <si>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</si>
  <si>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</si>
  <si>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</si>
  <si>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</si>
  <si>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</si>
  <si>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</si>
  <si>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</si>
  <si>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</si>
  <si>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</si>
  <si>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</si>
  <si>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</si>
  <si>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</si>
  <si>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</si>
  <si>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</si>
  <si>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</si>
  <si>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</si>
  <si>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</si>
  <si>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</si>
  <si>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</si>
  <si>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</si>
  <si>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</si>
  <si>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</si>
  <si>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</si>
  <si>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</si>
  <si>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</si>
  <si>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</si>
  <si>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</si>
  <si>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</si>
  <si>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</si>
  <si>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</si>
  <si>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</si>
  <si>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</si>
  <si>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</si>
  <si>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</si>
  <si>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</si>
  <si>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</si>
  <si>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</si>
  <si>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</si>
  <si>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</si>
  <si>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</si>
  <si>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</si>
  <si>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</si>
  <si>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</si>
  <si>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</si>
  <si>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</si>
  <si>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</si>
  <si>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</si>
  <si>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</si>
  <si>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</si>
  <si>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</si>
  <si>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</si>
  <si>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</si>
  <si>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</si>
  <si>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</si>
  <si>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</si>
  <si>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</si>
  <si>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</si>
  <si>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</si>
  <si>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</si>
  <si>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</si>
  <si>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</si>
  <si>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</si>
  <si>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</si>
  <si>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</si>
  <si>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</si>
  <si>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</si>
  <si>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</si>
  <si>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</si>
  <si>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</si>
  <si>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</si>
  <si>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</si>
  <si>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</si>
  <si>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</si>
  <si>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</si>
  <si>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</si>
  <si>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</si>
  <si>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</si>
  <si>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</si>
  <si>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</si>
  <si>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</si>
  <si>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</si>
  <si>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</si>
  <si>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</si>
  <si>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</si>
  <si>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</si>
  <si>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</si>
  <si>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</si>
  <si>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</si>
  <si>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</si>
  <si>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</si>
  <si>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</si>
  <si>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</si>
  <si>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</si>
  <si>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</si>
  <si>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</si>
  <si>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</si>
  <si>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</si>
  <si>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</si>
  <si>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</si>
  <si>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</si>
  <si>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</si>
  <si>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</si>
  <si>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</si>
  <si>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</si>
  <si>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</si>
  <si>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</si>
  <si>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</si>
  <si>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</si>
  <si>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</si>
  <si>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</si>
  <si>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</si>
  <si>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</si>
  <si>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</si>
  <si>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</si>
  <si>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</si>
  <si>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</si>
  <si>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</si>
  <si>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</si>
  <si>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</si>
  <si>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</si>
  <si>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</si>
  <si>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</si>
  <si>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</si>
  <si>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</si>
  <si>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</si>
  <si>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</si>
  <si>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</si>
  <si>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</si>
  <si>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</si>
  <si>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</si>
  <si>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</si>
  <si>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</si>
  <si>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</si>
  <si>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</si>
  <si>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</si>
  <si>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</si>
  <si>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</si>
  <si>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</si>
  <si>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</si>
  <si>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</si>
  <si>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</si>
  <si>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</si>
  <si>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</si>
  <si>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</si>
  <si>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</si>
  <si>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</si>
  <si>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</si>
  <si>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</si>
  <si>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</si>
  <si>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</si>
  <si>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</si>
  <si>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</si>
  <si>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</si>
  <si>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</si>
  <si>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</si>
  <si>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</si>
  <si>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</si>
  <si>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</si>
  <si>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</si>
  <si>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</si>
  <si>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</si>
  <si>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</si>
  <si>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</si>
  <si>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</si>
  <si>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</si>
  <si>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</si>
  <si>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</si>
  <si>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</si>
  <si>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</si>
  <si>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</si>
  <si>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</si>
  <si>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</si>
  <si>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</si>
  <si>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</si>
  <si>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</si>
  <si>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</si>
  <si>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</si>
  <si>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</si>
  <si>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</si>
  <si>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</si>
  <si>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</si>
  <si>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</si>
  <si>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</si>
  <si>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</si>
  <si>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</si>
  <si>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</si>
  <si>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</si>
  <si>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</si>
  <si>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</si>
  <si>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</si>
  <si>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</si>
  <si>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</si>
  <si>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</si>
  <si>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</si>
  <si>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</si>
  <si>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</si>
  <si>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</si>
  <si>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</si>
  <si>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</si>
  <si>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</si>
  <si>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</si>
  <si>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</si>
  <si>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</si>
  <si>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</si>
  <si>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</si>
  <si>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</si>
  <si>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</si>
  <si>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</si>
  <si>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</si>
  <si>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</si>
  <si>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</si>
  <si>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</si>
  <si>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</si>
  <si>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</si>
  <si>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</si>
  <si>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</si>
  <si>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</si>
  <si>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</si>
  <si>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</si>
  <si>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</si>
  <si>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</si>
  <si>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</si>
  <si>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</si>
  <si>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</si>
  <si>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</si>
  <si>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</si>
  <si>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</si>
  <si>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</si>
  <si>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</si>
  <si>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</si>
  <si>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</si>
  <si>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</si>
  <si>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</si>
  <si>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</si>
  <si>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</si>
  <si>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</si>
  <si>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</si>
  <si>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</si>
  <si>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</si>
  <si>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</si>
  <si>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</si>
  <si>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</si>
  <si>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</si>
  <si>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</si>
  <si>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</si>
  <si>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</si>
  <si>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</si>
  <si>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</si>
  <si>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</si>
  <si>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</si>
  <si>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</si>
  <si>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</si>
  <si>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</si>
  <si>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</si>
  <si>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</si>
  <si>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</si>
  <si>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</si>
  <si>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</si>
  <si>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</si>
  <si>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</si>
  <si>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</si>
  <si>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</si>
  <si>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</si>
  <si>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</si>
  <si>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</si>
  <si>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</si>
  <si>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</si>
  <si>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</si>
  <si>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</si>
  <si>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</si>
  <si>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</si>
  <si>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</si>
  <si>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</si>
  <si>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</si>
  <si>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</si>
  <si>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</si>
  <si>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</si>
  <si>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</si>
  <si>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</si>
  <si>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</si>
  <si>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</si>
  <si>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</si>
  <si>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</si>
  <si>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</si>
  <si>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</si>
  <si>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</si>
  <si>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</si>
  <si>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</si>
  <si>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</si>
  <si>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</si>
  <si>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</si>
  <si>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</si>
  <si>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</si>
  <si>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</si>
  <si>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</si>
  <si>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</si>
  <si>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</si>
  <si>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</si>
  <si>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</si>
  <si>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</si>
  <si>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</si>
  <si>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</si>
  <si>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</si>
  <si>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</si>
  <si>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</si>
  <si>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</si>
  <si>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</si>
  <si>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</si>
  <si>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</si>
  <si>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</si>
  <si>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</si>
  <si>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</si>
  <si>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</si>
  <si>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</si>
  <si>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</si>
  <si>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</si>
  <si>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</si>
  <si>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</si>
  <si>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</si>
  <si>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</si>
  <si>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</si>
  <si>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</si>
  <si>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</si>
  <si>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</si>
  <si>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</si>
  <si>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</si>
  <si>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</si>
  <si>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</si>
  <si>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</si>
  <si>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</si>
  <si>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</si>
  <si>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</si>
  <si>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</si>
  <si>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</si>
  <si>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</si>
  <si>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</si>
  <si>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</si>
  <si>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</si>
  <si>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</si>
  <si>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</si>
  <si>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</si>
  <si>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</si>
  <si>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</si>
  <si>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</si>
  <si>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</si>
  <si>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</si>
  <si>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</si>
  <si>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</si>
  <si>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</si>
  <si>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</si>
  <si>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</si>
  <si>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</si>
  <si>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</si>
  <si>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</si>
  <si>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</si>
  <si>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</si>
  <si>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</si>
  <si>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</si>
  <si>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</si>
  <si>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</si>
  <si>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</si>
  <si>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</si>
  <si>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</si>
  <si>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</si>
  <si>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</si>
  <si>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</si>
  <si>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</si>
  <si>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</si>
  <si>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</si>
  <si>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</si>
  <si>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</si>
  <si>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</si>
  <si>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</si>
  <si>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</si>
  <si>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</si>
  <si>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</si>
  <si>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</si>
  <si>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</si>
  <si>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</si>
  <si>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</si>
  <si>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</si>
  <si>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</si>
  <si>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</si>
  <si>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</si>
  <si>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</si>
  <si>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</si>
  <si>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</si>
  <si>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</si>
  <si>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</si>
  <si>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</si>
  <si>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</si>
  <si>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</si>
  <si>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</si>
  <si>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</si>
  <si>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</si>
  <si>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</si>
  <si>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</si>
  <si>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</si>
  <si>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</si>
  <si>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</si>
  <si>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</si>
  <si>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</si>
  <si>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</si>
  <si>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</si>
  <si>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</si>
  <si>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</si>
  <si>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</si>
  <si>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</si>
  <si>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</si>
  <si>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</si>
  <si>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</si>
  <si>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</si>
  <si>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</si>
  <si>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</si>
  <si>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</si>
  <si>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</si>
  <si>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</si>
  <si>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</si>
  <si>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</si>
  <si>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</si>
  <si>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</si>
  <si>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</si>
  <si>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</si>
  <si>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</si>
  <si>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</si>
  <si>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</si>
  <si>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</si>
  <si>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</si>
  <si>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</si>
  <si>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</si>
  <si>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</si>
  <si>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</si>
  <si>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</si>
  <si>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</si>
  <si>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</si>
  <si>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</si>
  <si>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</si>
  <si>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</si>
  <si>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</si>
  <si>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</si>
  <si>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</si>
  <si>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</si>
  <si>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</si>
  <si>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</si>
  <si>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</si>
  <si>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</si>
  <si>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</si>
  <si>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</si>
  <si>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</si>
  <si>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</si>
  <si>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</si>
  <si>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</si>
  <si>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</si>
  <si>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</si>
  <si>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</si>
  <si>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</si>
  <si>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</si>
  <si>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</si>
  <si>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</si>
  <si>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</si>
  <si>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</si>
  <si>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</si>
  <si>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</si>
  <si>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</si>
  <si>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</si>
  <si>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</si>
  <si>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</si>
  <si>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</si>
  <si>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</si>
  <si>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</si>
  <si>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</si>
  <si>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</si>
  <si>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</si>
  <si>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</si>
  <si>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</si>
  <si>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</si>
  <si>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</si>
  <si>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</si>
  <si>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</si>
  <si>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</si>
  <si>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</si>
  <si>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</si>
  <si>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</si>
  <si>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</si>
  <si>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</si>
  <si>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</si>
  <si>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</si>
  <si>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</si>
  <si>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</si>
  <si>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</si>
  <si>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</si>
  <si>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</si>
  <si>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</si>
  <si>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</si>
  <si>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</si>
  <si>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</si>
  <si>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</si>
  <si>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</si>
  <si>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</si>
  <si>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</si>
  <si>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</si>
  <si>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</si>
  <si>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</si>
  <si>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</si>
  <si>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</si>
  <si>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</si>
  <si>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</si>
  <si>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</si>
  <si>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</si>
  <si>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</si>
  <si>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</si>
  <si>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</si>
  <si>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</si>
  <si>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</si>
  <si>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</si>
  <si>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</si>
  <si>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</si>
  <si>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</si>
  <si>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</si>
  <si>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</si>
  <si>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</si>
  <si>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</si>
  <si>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</si>
  <si>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</si>
  <si>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</si>
  <si>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</si>
  <si>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</si>
  <si>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</si>
  <si>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</si>
  <si>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</si>
  <si>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</si>
  <si>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</si>
  <si>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</si>
  <si>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</si>
  <si>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</si>
  <si>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</si>
  <si>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</si>
  <si>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</si>
  <si>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</si>
  <si>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</si>
  <si>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</si>
  <si>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</si>
  <si>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</si>
  <si>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</si>
  <si>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</si>
  <si>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</si>
  <si>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</si>
  <si>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</si>
  <si>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</si>
  <si>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</si>
  <si>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</si>
  <si>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</si>
  <si>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</si>
  <si>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</si>
  <si>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</si>
  <si>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</si>
  <si>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</si>
  <si>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</si>
  <si>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</si>
  <si>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</si>
  <si>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</si>
  <si>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</si>
  <si>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</si>
  <si>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</si>
  <si>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</si>
  <si>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</si>
  <si>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</si>
  <si>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</si>
  <si>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</si>
  <si>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</si>
  <si>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</si>
  <si>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</si>
  <si>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</si>
  <si>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</si>
  <si>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</si>
  <si>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</si>
  <si>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</si>
  <si>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</si>
  <si>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</si>
  <si>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</si>
  <si>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</si>
  <si>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</si>
  <si>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</si>
  <si>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</si>
  <si>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</si>
  <si>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</si>
  <si>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</si>
  <si>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</si>
  <si>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</si>
  <si>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</si>
  <si>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</si>
  <si>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</si>
  <si>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</si>
  <si>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</si>
  <si>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</si>
  <si>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</si>
  <si>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</si>
  <si>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</si>
  <si>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</si>
  <si>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</si>
  <si>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</si>
  <si>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</si>
  <si>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</si>
  <si>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</si>
  <si>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</si>
  <si>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</si>
  <si>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</si>
  <si>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</si>
  <si>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</si>
  <si>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</si>
  <si>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</si>
  <si>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</si>
  <si>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</si>
  <si>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</si>
  <si>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</si>
  <si>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</si>
  <si>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</si>
  <si>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</si>
  <si>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</si>
  <si>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</si>
  <si>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</si>
  <si>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</si>
  <si>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</si>
  <si>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</si>
  <si>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</si>
  <si>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</si>
  <si>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</si>
  <si>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</si>
  <si>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</si>
  <si>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</si>
  <si>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</si>
  <si>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</si>
  <si>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</si>
  <si>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</si>
  <si>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</si>
  <si>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</si>
  <si>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</si>
  <si>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</si>
  <si>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</si>
  <si>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</si>
  <si>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</si>
  <si>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</si>
  <si>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</si>
  <si>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</si>
  <si>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</si>
  <si>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</si>
  <si>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</si>
  <si>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</si>
  <si>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</si>
  <si>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</si>
  <si>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</si>
  <si>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</si>
  <si>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</si>
  <si>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</si>
  <si>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</si>
  <si>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</si>
  <si>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</si>
  <si>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</si>
  <si>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</si>
  <si>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</si>
  <si>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</si>
  <si>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</si>
  <si>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</si>
  <si>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</si>
  <si>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</si>
  <si>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</si>
  <si>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</si>
  <si>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</si>
  <si>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HAMPSTEAD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</si>
</sst>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80" zoomScaleNormal="80" workbookViewId="0">
      <pane xSplit="5" ySplit="3" topLeftCell="F646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223</v>
      </c>
      <c r="C2" s="21">
        <v>223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3363922.93+525</f>
        <v>3364447.93</v>
      </c>
      <c r="G9" s="18">
        <v>28677.8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159834.29999999999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170889.18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11654.86</v>
      </c>
      <c r="H13" s="18">
        <v>126905.11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5525.73</v>
      </c>
      <c r="G14" s="18">
        <f>7675.93-5525.73</f>
        <v>2150.2000000000007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9476.1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3540862.8400000003</v>
      </c>
      <c r="G19" s="41">
        <f>SUM(G9:G18)</f>
        <v>51958.96</v>
      </c>
      <c r="H19" s="41">
        <f>SUM(H9:H18)</f>
        <v>126905.11</v>
      </c>
      <c r="I19" s="41">
        <f>SUM(I9:I18)</f>
        <v>0</v>
      </c>
      <c r="J19" s="41">
        <f>SUM(J9:J18)</f>
        <v>159834.29999999999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46424.52</v>
      </c>
      <c r="H22" s="18">
        <v>124464.66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2220333.4500000002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77508.509999999995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63376.01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2600</v>
      </c>
      <c r="G30" s="18">
        <v>5534.44</v>
      </c>
      <c r="H30" s="18">
        <v>2440.4499999999998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2363817.9699999997</v>
      </c>
      <c r="G32" s="41">
        <f>SUM(G22:G31)</f>
        <v>51958.96</v>
      </c>
      <c r="H32" s="41">
        <f>SUM(H22:H31)</f>
        <v>126905.11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315944.61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159834.29999999999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786100.26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1177044.8700000001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159834.29999999999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3540862.84</v>
      </c>
      <c r="G51" s="41">
        <f>G50+G32</f>
        <v>51958.96</v>
      </c>
      <c r="H51" s="41">
        <f>H50+H32</f>
        <v>126905.11</v>
      </c>
      <c r="I51" s="41">
        <f>I50+I32</f>
        <v>0</v>
      </c>
      <c r="J51" s="41">
        <f>J50+J32</f>
        <v>159834.29999999999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15020975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3980</v>
      </c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15024955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63386+46040</f>
        <v>109426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15600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125026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3404.42-994.04</f>
        <v>2410.38</v>
      </c>
      <c r="G95" s="18">
        <v>3.57</v>
      </c>
      <c r="H95" s="18"/>
      <c r="I95" s="18"/>
      <c r="J95" s="18">
        <v>994.04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134430+4725+59622.28+14444+4914</f>
        <v>218135.28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444.79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>
        <f>250+49.01+4249.5+6894.63</f>
        <v>11443.14</v>
      </c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2855.17</v>
      </c>
      <c r="G110" s="41">
        <f>SUM(G95:G109)</f>
        <v>218138.85</v>
      </c>
      <c r="H110" s="41">
        <f>SUM(H95:H109)</f>
        <v>11443.14</v>
      </c>
      <c r="I110" s="41">
        <f>SUM(I95:I109)</f>
        <v>0</v>
      </c>
      <c r="J110" s="41">
        <f>SUM(J95:J109)</f>
        <v>994.04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15152836.17</v>
      </c>
      <c r="G111" s="41">
        <f>G59+G110</f>
        <v>218138.85</v>
      </c>
      <c r="H111" s="41">
        <f>H59+H78+H93+H110</f>
        <v>11443.14</v>
      </c>
      <c r="I111" s="41">
        <f>I59+I110</f>
        <v>0</v>
      </c>
      <c r="J111" s="41">
        <f>J59+J110</f>
        <v>994.04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3435071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2379918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334.08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5815323.0800000001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416145.61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2980.21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416145.61</v>
      </c>
      <c r="G135" s="41">
        <f>SUM(G122:G134)</f>
        <v>2980.21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6231468.6900000004</v>
      </c>
      <c r="G139" s="41">
        <f>G120+SUM(G135:G136)</f>
        <v>2980.21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2933.85+41016.73</f>
        <v>43950.58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6486.02+27380.78+32.49</f>
        <v>33899.29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50058.83+17213.72</f>
        <v>67272.55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312864.49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167129.79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167129.79</v>
      </c>
      <c r="G161" s="41">
        <f>SUM(G149:G160)</f>
        <v>67272.55</v>
      </c>
      <c r="H161" s="41">
        <f>SUM(H149:H160)</f>
        <v>390714.36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167129.79</v>
      </c>
      <c r="G168" s="41">
        <f>G146+G161+SUM(G162:G167)</f>
        <v>67272.55</v>
      </c>
      <c r="H168" s="41">
        <f>H146+H161+SUM(H162:H167)</f>
        <v>390714.36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10747.4</v>
      </c>
      <c r="H178" s="18"/>
      <c r="I178" s="18"/>
      <c r="J178" s="18">
        <v>75000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10747.4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10747.4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21551434.649999999</v>
      </c>
      <c r="G192" s="47">
        <f>G111+G139+G168+G191</f>
        <v>299139.01</v>
      </c>
      <c r="H192" s="47">
        <f>H111+H139+H168+H191</f>
        <v>402157.5</v>
      </c>
      <c r="I192" s="47">
        <f>I111+I139+I168+I191</f>
        <v>0</v>
      </c>
      <c r="J192" s="47">
        <f>J111+J139+J191</f>
        <v>75994.039999999994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2404489.9900000002</v>
      </c>
      <c r="G196" s="18">
        <v>1129523.43</v>
      </c>
      <c r="H196" s="18">
        <v>30797.06</v>
      </c>
      <c r="I196" s="18">
        <v>89824.65</v>
      </c>
      <c r="J196" s="18">
        <v>37464.85</v>
      </c>
      <c r="K196" s="18">
        <v>6492.65</v>
      </c>
      <c r="L196" s="19">
        <f>SUM(F196:K196)</f>
        <v>3698592.63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1127129.1000000001</v>
      </c>
      <c r="G197" s="18">
        <v>529475.57999999996</v>
      </c>
      <c r="H197" s="18">
        <v>27114.7</v>
      </c>
      <c r="I197" s="18">
        <v>4805.74</v>
      </c>
      <c r="J197" s="18">
        <v>900.34</v>
      </c>
      <c r="K197" s="18">
        <v>887.02</v>
      </c>
      <c r="L197" s="19">
        <f>SUM(F197:K197)</f>
        <v>1690312.4800000002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3397.14</v>
      </c>
      <c r="G199" s="18">
        <v>1595.83</v>
      </c>
      <c r="H199" s="18"/>
      <c r="I199" s="18">
        <v>363.4</v>
      </c>
      <c r="J199" s="18"/>
      <c r="K199" s="18"/>
      <c r="L199" s="19">
        <f>SUM(F199:K199)</f>
        <v>5356.369999999999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330124.21000000002</v>
      </c>
      <c r="G201" s="18">
        <v>155077.79999999999</v>
      </c>
      <c r="H201" s="18">
        <v>4354.99</v>
      </c>
      <c r="I201" s="18">
        <v>5092.6899999999996</v>
      </c>
      <c r="J201" s="18">
        <v>1141.76</v>
      </c>
      <c r="K201" s="18">
        <v>1732.96</v>
      </c>
      <c r="L201" s="19">
        <f t="shared" ref="L201:L207" si="0">SUM(F201:K201)</f>
        <v>497524.41000000003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62514.92</v>
      </c>
      <c r="G202" s="18">
        <v>58615.34</v>
      </c>
      <c r="H202" s="18">
        <v>18578.78</v>
      </c>
      <c r="I202" s="18">
        <v>14745.12</v>
      </c>
      <c r="J202" s="18">
        <v>714.06</v>
      </c>
      <c r="K202" s="18"/>
      <c r="L202" s="19">
        <f t="shared" si="0"/>
        <v>155168.21999999997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2768.06</v>
      </c>
      <c r="G203" s="18">
        <v>1300.31</v>
      </c>
      <c r="H203" s="18">
        <v>125231.64</v>
      </c>
      <c r="I203" s="18">
        <v>135.4</v>
      </c>
      <c r="J203" s="18"/>
      <c r="K203" s="18">
        <v>10171.19</v>
      </c>
      <c r="L203" s="19">
        <f t="shared" si="0"/>
        <v>139606.59999999998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240576.53</v>
      </c>
      <c r="G204" s="18">
        <v>113012.25</v>
      </c>
      <c r="H204" s="18">
        <v>11486.12</v>
      </c>
      <c r="I204" s="18">
        <v>2833.49</v>
      </c>
      <c r="J204" s="18"/>
      <c r="K204" s="18">
        <v>1244</v>
      </c>
      <c r="L204" s="19">
        <f t="shared" si="0"/>
        <v>369152.39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282069.90000000002</v>
      </c>
      <c r="G206" s="18">
        <v>136634.82</v>
      </c>
      <c r="H206" s="18">
        <v>92886.62</v>
      </c>
      <c r="I206" s="18">
        <v>162394.13</v>
      </c>
      <c r="J206" s="18">
        <v>4837.2</v>
      </c>
      <c r="K206" s="18">
        <v>2561.1999999999998</v>
      </c>
      <c r="L206" s="19">
        <f t="shared" si="0"/>
        <v>681383.86999999988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212520.55</v>
      </c>
      <c r="I207" s="18"/>
      <c r="J207" s="18"/>
      <c r="K207" s="18"/>
      <c r="L207" s="19">
        <f t="shared" si="0"/>
        <v>212520.55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>
        <v>3224.13</v>
      </c>
      <c r="J208" s="18"/>
      <c r="K208" s="18"/>
      <c r="L208" s="19">
        <f>SUM(F208:K208)</f>
        <v>3224.13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4453069.8500000006</v>
      </c>
      <c r="G210" s="41">
        <f t="shared" si="1"/>
        <v>2125235.36</v>
      </c>
      <c r="H210" s="41">
        <f t="shared" si="1"/>
        <v>522970.45999999996</v>
      </c>
      <c r="I210" s="41">
        <f t="shared" si="1"/>
        <v>283418.75</v>
      </c>
      <c r="J210" s="41">
        <f t="shared" si="1"/>
        <v>45058.209999999992</v>
      </c>
      <c r="K210" s="41">
        <f t="shared" si="1"/>
        <v>23089.02</v>
      </c>
      <c r="L210" s="41">
        <f t="shared" si="1"/>
        <v>7452841.6499999994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2210199.85</v>
      </c>
      <c r="G214" s="18">
        <v>1038254.48</v>
      </c>
      <c r="H214" s="18">
        <v>20846.759999999998</v>
      </c>
      <c r="I214" s="18">
        <v>76383.28</v>
      </c>
      <c r="J214" s="18">
        <v>36661.58</v>
      </c>
      <c r="K214" s="18">
        <v>6465.82</v>
      </c>
      <c r="L214" s="19">
        <f>SUM(F214:K214)</f>
        <v>3388811.7699999996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954048.66</v>
      </c>
      <c r="G215" s="18">
        <v>448170.01</v>
      </c>
      <c r="H215" s="18">
        <v>334356.55</v>
      </c>
      <c r="I215" s="18">
        <v>3546.4</v>
      </c>
      <c r="J215" s="18">
        <v>350</v>
      </c>
      <c r="K215" s="18">
        <v>795.34</v>
      </c>
      <c r="L215" s="19">
        <f>SUM(F215:K215)</f>
        <v>1741266.96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44191.5</v>
      </c>
      <c r="G217" s="18">
        <v>20759.22</v>
      </c>
      <c r="H217" s="18">
        <v>6436</v>
      </c>
      <c r="I217" s="18">
        <v>5622.3</v>
      </c>
      <c r="J217" s="18">
        <v>1178.83</v>
      </c>
      <c r="K217" s="18">
        <v>3744.71</v>
      </c>
      <c r="L217" s="19">
        <f>SUM(F217:K217)</f>
        <v>81932.560000000012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405897.21</v>
      </c>
      <c r="G219" s="18">
        <v>190672.62</v>
      </c>
      <c r="H219" s="18">
        <v>6086.3</v>
      </c>
      <c r="I219" s="18">
        <v>2869.77</v>
      </c>
      <c r="J219" s="18">
        <v>579.99</v>
      </c>
      <c r="K219" s="18">
        <v>1553.84</v>
      </c>
      <c r="L219" s="19">
        <f t="shared" ref="L219:L225" si="2">SUM(F219:K219)</f>
        <v>607659.7300000001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50614.06</v>
      </c>
      <c r="G220" s="18">
        <v>50001.66</v>
      </c>
      <c r="H220" s="18">
        <v>17707.439999999999</v>
      </c>
      <c r="I220" s="18">
        <v>12832.18</v>
      </c>
      <c r="J220" s="18">
        <v>1916</v>
      </c>
      <c r="K220" s="18"/>
      <c r="L220" s="19">
        <f t="shared" si="2"/>
        <v>133071.34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2481.94</v>
      </c>
      <c r="G221" s="18">
        <v>1165.9100000000001</v>
      </c>
      <c r="H221" s="18">
        <v>112287.5</v>
      </c>
      <c r="I221" s="18">
        <v>121.4</v>
      </c>
      <c r="J221" s="18"/>
      <c r="K221" s="18">
        <v>9119.8799999999992</v>
      </c>
      <c r="L221" s="19">
        <f t="shared" si="2"/>
        <v>125176.63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302791.27</v>
      </c>
      <c r="G222" s="18">
        <v>142237.99</v>
      </c>
      <c r="H222" s="18">
        <v>13322.58</v>
      </c>
      <c r="I222" s="18">
        <v>2226.1799999999998</v>
      </c>
      <c r="J222" s="18">
        <v>2773.77</v>
      </c>
      <c r="K222" s="18">
        <v>3359.05</v>
      </c>
      <c r="L222" s="19">
        <f t="shared" si="2"/>
        <v>466710.84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278080.59999999998</v>
      </c>
      <c r="G224" s="18">
        <v>134333.85</v>
      </c>
      <c r="H224" s="18">
        <v>83285.7</v>
      </c>
      <c r="I224" s="18">
        <v>145608.82999999999</v>
      </c>
      <c r="J224" s="18">
        <v>4337.22</v>
      </c>
      <c r="K224" s="18">
        <v>2600.4</v>
      </c>
      <c r="L224" s="19">
        <f t="shared" si="2"/>
        <v>648246.6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283613.8</v>
      </c>
      <c r="I225" s="18"/>
      <c r="J225" s="18"/>
      <c r="K225" s="18"/>
      <c r="L225" s="19">
        <f t="shared" si="2"/>
        <v>283613.8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>
        <v>2890.87</v>
      </c>
      <c r="J226" s="18"/>
      <c r="K226" s="18"/>
      <c r="L226" s="19">
        <f>SUM(F226:K226)</f>
        <v>2890.87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4248305.09</v>
      </c>
      <c r="G228" s="41">
        <f>SUM(G214:G227)</f>
        <v>2025595.74</v>
      </c>
      <c r="H228" s="41">
        <f>SUM(H214:H227)</f>
        <v>877942.62999999989</v>
      </c>
      <c r="I228" s="41">
        <f>SUM(I214:I227)</f>
        <v>252101.20999999996</v>
      </c>
      <c r="J228" s="41">
        <f>SUM(J214:J227)</f>
        <v>47797.39</v>
      </c>
      <c r="K228" s="41">
        <f t="shared" si="3"/>
        <v>27639.039999999997</v>
      </c>
      <c r="L228" s="41">
        <f t="shared" si="3"/>
        <v>7479381.0999999987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4554498.3600000003</v>
      </c>
      <c r="I232" s="18"/>
      <c r="J232" s="18"/>
      <c r="K232" s="18"/>
      <c r="L232" s="19">
        <f>SUM(F232:K232)</f>
        <v>4554498.3600000003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73576.59</v>
      </c>
      <c r="G233" s="18">
        <v>34563.040000000001</v>
      </c>
      <c r="H233" s="18">
        <v>1306140.21</v>
      </c>
      <c r="I233" s="18"/>
      <c r="J233" s="18"/>
      <c r="K233" s="18"/>
      <c r="L233" s="19">
        <f>SUM(F233:K233)</f>
        <v>1414279.8399999999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v>86636.4</v>
      </c>
      <c r="I239" s="18"/>
      <c r="J239" s="18"/>
      <c r="K239" s="18"/>
      <c r="L239" s="19">
        <f t="shared" si="4"/>
        <v>86636.4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304461.65000000002</v>
      </c>
      <c r="I243" s="18"/>
      <c r="J243" s="18"/>
      <c r="K243" s="18"/>
      <c r="L243" s="19">
        <f t="shared" si="4"/>
        <v>304461.65000000002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73576.59</v>
      </c>
      <c r="G246" s="41">
        <f t="shared" si="5"/>
        <v>34563.040000000001</v>
      </c>
      <c r="H246" s="41">
        <f t="shared" si="5"/>
        <v>6251736.620000001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6359876.2500000009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f>5764.07+5168.28</f>
        <v>10932.349999999999</v>
      </c>
      <c r="G252" s="18">
        <f>2427.83+2707.7</f>
        <v>5135.53</v>
      </c>
      <c r="H252" s="18"/>
      <c r="I252" s="18"/>
      <c r="J252" s="18"/>
      <c r="K252" s="18"/>
      <c r="L252" s="19">
        <f t="shared" si="6"/>
        <v>16067.879999999997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370656.34</v>
      </c>
      <c r="I254" s="18"/>
      <c r="J254" s="18"/>
      <c r="K254" s="18"/>
      <c r="L254" s="19">
        <f t="shared" si="6"/>
        <v>370656.34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10932.349999999999</v>
      </c>
      <c r="G255" s="41">
        <f t="shared" si="7"/>
        <v>5135.53</v>
      </c>
      <c r="H255" s="41">
        <f t="shared" si="7"/>
        <v>370656.34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386724.22000000003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8785883.8800000008</v>
      </c>
      <c r="G256" s="41">
        <f t="shared" si="8"/>
        <v>4190529.6699999995</v>
      </c>
      <c r="H256" s="41">
        <f t="shared" si="8"/>
        <v>8023306.0500000007</v>
      </c>
      <c r="I256" s="41">
        <f t="shared" si="8"/>
        <v>535519.96</v>
      </c>
      <c r="J256" s="41">
        <f t="shared" si="8"/>
        <v>92855.599999999991</v>
      </c>
      <c r="K256" s="41">
        <f t="shared" si="8"/>
        <v>50728.06</v>
      </c>
      <c r="L256" s="41">
        <f t="shared" si="8"/>
        <v>21678823.219999999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10747.4</v>
      </c>
      <c r="L262" s="19">
        <f>SUM(F262:K262)</f>
        <v>10747.4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85747.4</v>
      </c>
      <c r="L269" s="41">
        <f t="shared" si="9"/>
        <v>85747.4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8785883.8800000008</v>
      </c>
      <c r="G270" s="42">
        <f t="shared" si="11"/>
        <v>4190529.6699999995</v>
      </c>
      <c r="H270" s="42">
        <f t="shared" si="11"/>
        <v>8023306.0500000007</v>
      </c>
      <c r="I270" s="42">
        <f t="shared" si="11"/>
        <v>535519.96</v>
      </c>
      <c r="J270" s="42">
        <f t="shared" si="11"/>
        <v>92855.599999999991</v>
      </c>
      <c r="K270" s="42">
        <f t="shared" si="11"/>
        <v>136475.46</v>
      </c>
      <c r="L270" s="42">
        <f t="shared" si="11"/>
        <v>21764570.619999997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21559.99</v>
      </c>
      <c r="G275" s="18"/>
      <c r="H275" s="18">
        <v>2986.84</v>
      </c>
      <c r="I275" s="18">
        <v>2244.98</v>
      </c>
      <c r="J275" s="18">
        <v>4249.5</v>
      </c>
      <c r="K275" s="18">
        <v>681.44</v>
      </c>
      <c r="L275" s="19">
        <f>SUM(F275:K275)</f>
        <v>31722.75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114501.72</v>
      </c>
      <c r="G276" s="18">
        <v>8759.3799999999992</v>
      </c>
      <c r="H276" s="18"/>
      <c r="I276" s="18">
        <v>8464.36</v>
      </c>
      <c r="J276" s="18">
        <v>16010.28</v>
      </c>
      <c r="K276" s="18"/>
      <c r="L276" s="19">
        <f>SUM(F276:K276)</f>
        <v>147735.74000000002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2116.67</v>
      </c>
      <c r="G280" s="18">
        <v>161.91999999999999</v>
      </c>
      <c r="H280" s="18">
        <v>6146.08</v>
      </c>
      <c r="I280" s="18"/>
      <c r="J280" s="18"/>
      <c r="K280" s="18"/>
      <c r="L280" s="19">
        <f t="shared" ref="L280:L286" si="12">SUM(F280:K280)</f>
        <v>8424.67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22401.040000000001</v>
      </c>
      <c r="I281" s="18">
        <v>808</v>
      </c>
      <c r="J281" s="18"/>
      <c r="K281" s="18"/>
      <c r="L281" s="19">
        <f t="shared" si="12"/>
        <v>23209.040000000001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138178.38</v>
      </c>
      <c r="G289" s="42">
        <f t="shared" si="13"/>
        <v>8921.2999999999993</v>
      </c>
      <c r="H289" s="42">
        <f t="shared" si="13"/>
        <v>31533.96</v>
      </c>
      <c r="I289" s="42">
        <f t="shared" si="13"/>
        <v>11517.34</v>
      </c>
      <c r="J289" s="42">
        <f t="shared" si="13"/>
        <v>20259.78</v>
      </c>
      <c r="K289" s="42">
        <f t="shared" si="13"/>
        <v>681.44</v>
      </c>
      <c r="L289" s="41">
        <f t="shared" si="13"/>
        <v>211092.20000000004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19331.52</v>
      </c>
      <c r="G294" s="18"/>
      <c r="H294" s="18">
        <v>2678.12</v>
      </c>
      <c r="I294" s="18">
        <v>2012.94</v>
      </c>
      <c r="J294" s="18">
        <v>5168.79</v>
      </c>
      <c r="K294" s="18">
        <v>1044.4000000000001</v>
      </c>
      <c r="L294" s="19">
        <f>SUM(F294:K294)</f>
        <v>30235.77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102666.64</v>
      </c>
      <c r="G295" s="18">
        <v>7853.99</v>
      </c>
      <c r="H295" s="18"/>
      <c r="I295" s="18">
        <v>7589.47</v>
      </c>
      <c r="J295" s="18">
        <v>14355.43</v>
      </c>
      <c r="K295" s="18"/>
      <c r="L295" s="19">
        <f>SUM(F295:K295)</f>
        <v>132465.53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1897.88</v>
      </c>
      <c r="G299" s="18">
        <v>145.19</v>
      </c>
      <c r="H299" s="18">
        <v>5510.81</v>
      </c>
      <c r="I299" s="18"/>
      <c r="J299" s="18"/>
      <c r="K299" s="18"/>
      <c r="L299" s="19">
        <f t="shared" ref="L299:L305" si="14">SUM(F299:K299)</f>
        <v>7553.880000000001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20085.63</v>
      </c>
      <c r="I300" s="18">
        <v>724.49</v>
      </c>
      <c r="J300" s="18"/>
      <c r="K300" s="18"/>
      <c r="L300" s="19">
        <f t="shared" si="14"/>
        <v>20810.120000000003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123896.04000000001</v>
      </c>
      <c r="G308" s="42">
        <f t="shared" si="15"/>
        <v>7999.1799999999994</v>
      </c>
      <c r="H308" s="42">
        <f t="shared" si="15"/>
        <v>28274.560000000001</v>
      </c>
      <c r="I308" s="42">
        <f t="shared" si="15"/>
        <v>10326.9</v>
      </c>
      <c r="J308" s="42">
        <f t="shared" si="15"/>
        <v>19524.22</v>
      </c>
      <c r="K308" s="42">
        <f t="shared" si="15"/>
        <v>1044.4000000000001</v>
      </c>
      <c r="L308" s="41">
        <f t="shared" si="15"/>
        <v>191065.3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262074.42</v>
      </c>
      <c r="G337" s="41">
        <f t="shared" si="20"/>
        <v>16920.48</v>
      </c>
      <c r="H337" s="41">
        <f t="shared" si="20"/>
        <v>59808.520000000004</v>
      </c>
      <c r="I337" s="41">
        <f t="shared" si="20"/>
        <v>21844.239999999998</v>
      </c>
      <c r="J337" s="41">
        <f t="shared" si="20"/>
        <v>39784</v>
      </c>
      <c r="K337" s="41">
        <f t="shared" si="20"/>
        <v>1725.8400000000001</v>
      </c>
      <c r="L337" s="41">
        <f t="shared" si="20"/>
        <v>402157.5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262074.42</v>
      </c>
      <c r="G351" s="41">
        <f>G337</f>
        <v>16920.48</v>
      </c>
      <c r="H351" s="41">
        <f>H337</f>
        <v>59808.520000000004</v>
      </c>
      <c r="I351" s="41">
        <f>I337</f>
        <v>21844.239999999998</v>
      </c>
      <c r="J351" s="41">
        <f>J337</f>
        <v>39784</v>
      </c>
      <c r="K351" s="47">
        <f>K337+K350</f>
        <v>1725.8400000000001</v>
      </c>
      <c r="L351" s="41">
        <f>L337+L350</f>
        <v>402157.5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40243.49</v>
      </c>
      <c r="G357" s="18">
        <v>3047.23</v>
      </c>
      <c r="H357" s="18">
        <v>115571.32</v>
      </c>
      <c r="I357" s="18">
        <v>6466.31</v>
      </c>
      <c r="J357" s="18"/>
      <c r="K357" s="18">
        <v>2625.75</v>
      </c>
      <c r="L357" s="13">
        <f>SUM(F357:K357)</f>
        <v>167954.1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18040.88</v>
      </c>
      <c r="G358" s="18">
        <v>1366.05</v>
      </c>
      <c r="H358" s="18">
        <v>103625.68</v>
      </c>
      <c r="I358" s="18">
        <v>5797.95</v>
      </c>
      <c r="J358" s="18"/>
      <c r="K358" s="18">
        <v>2354.35</v>
      </c>
      <c r="L358" s="19">
        <f>SUM(F358:K358)</f>
        <v>131184.90999999997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58284.369999999995</v>
      </c>
      <c r="G361" s="47">
        <f t="shared" si="22"/>
        <v>4413.28</v>
      </c>
      <c r="H361" s="47">
        <f t="shared" si="22"/>
        <v>219197</v>
      </c>
      <c r="I361" s="47">
        <f t="shared" si="22"/>
        <v>12264.26</v>
      </c>
      <c r="J361" s="47">
        <f t="shared" si="22"/>
        <v>0</v>
      </c>
      <c r="K361" s="47">
        <f t="shared" si="22"/>
        <v>4980.1000000000004</v>
      </c>
      <c r="L361" s="47">
        <f t="shared" si="22"/>
        <v>299139.01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6466.31</v>
      </c>
      <c r="G366" s="18">
        <v>5797.95</v>
      </c>
      <c r="H366" s="18"/>
      <c r="I366" s="56">
        <f>SUM(F366:H366)</f>
        <v>12264.26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6466.31</v>
      </c>
      <c r="G368" s="47">
        <f>SUM(G366:G367)</f>
        <v>5797.95</v>
      </c>
      <c r="H368" s="47">
        <f>SUM(H366:H367)</f>
        <v>0</v>
      </c>
      <c r="I368" s="47">
        <f>SUM(I366:I367)</f>
        <v>12264.26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75000</v>
      </c>
      <c r="H387" s="18">
        <v>994.04</v>
      </c>
      <c r="I387" s="18"/>
      <c r="J387" s="24" t="s">
        <v>289</v>
      </c>
      <c r="K387" s="24" t="s">
        <v>289</v>
      </c>
      <c r="L387" s="56">
        <f t="shared" si="25"/>
        <v>75994.039999999994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75000</v>
      </c>
      <c r="H392" s="139">
        <f>SUM(H386:H391)</f>
        <v>994.04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75994.039999999994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994.04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75994.039999999994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159834.29999999999</v>
      </c>
      <c r="G439" s="18"/>
      <c r="H439" s="18"/>
      <c r="I439" s="56">
        <f t="shared" si="33"/>
        <v>159834.29999999999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159834.29999999999</v>
      </c>
      <c r="G445" s="13">
        <f>SUM(G438:G444)</f>
        <v>0</v>
      </c>
      <c r="H445" s="13">
        <f>SUM(H438:H444)</f>
        <v>0</v>
      </c>
      <c r="I445" s="13">
        <f>SUM(I438:I444)</f>
        <v>159834.29999999999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159834.29999999999</v>
      </c>
      <c r="G458" s="18"/>
      <c r="H458" s="18"/>
      <c r="I458" s="56">
        <f t="shared" si="34"/>
        <v>159834.29999999999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159834.29999999999</v>
      </c>
      <c r="G459" s="83">
        <f>SUM(G453:G458)</f>
        <v>0</v>
      </c>
      <c r="H459" s="83">
        <f>SUM(H453:H458)</f>
        <v>0</v>
      </c>
      <c r="I459" s="83">
        <f>SUM(I453:I458)</f>
        <v>159834.29999999999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159834.29999999999</v>
      </c>
      <c r="G460" s="42">
        <f>G451+G459</f>
        <v>0</v>
      </c>
      <c r="H460" s="42">
        <f>H451+H459</f>
        <v>0</v>
      </c>
      <c r="I460" s="42">
        <f>I451+I459</f>
        <v>159834.29999999999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1390180.84</f>
        <v>1390180.84</v>
      </c>
      <c r="G464" s="18">
        <v>0</v>
      </c>
      <c r="H464" s="18">
        <v>0</v>
      </c>
      <c r="I464" s="18"/>
      <c r="J464" s="18">
        <v>83840.259999999995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21552428.69-994.04</f>
        <v>21551434.650000002</v>
      </c>
      <c r="G467" s="18">
        <v>299139.01</v>
      </c>
      <c r="H467" s="18">
        <v>402157.5</v>
      </c>
      <c r="I467" s="18"/>
      <c r="J467" s="18">
        <v>75994.039999999994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21551434.650000002</v>
      </c>
      <c r="G469" s="53">
        <f>SUM(G467:G468)</f>
        <v>299139.01</v>
      </c>
      <c r="H469" s="53">
        <f>SUM(H467:H468)</f>
        <v>402157.5</v>
      </c>
      <c r="I469" s="53">
        <f>SUM(I467:I468)</f>
        <v>0</v>
      </c>
      <c r="J469" s="53">
        <f>SUM(J467:J468)</f>
        <v>75994.039999999994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21764570.620000001</v>
      </c>
      <c r="G471" s="18">
        <v>299139.01</v>
      </c>
      <c r="H471" s="18">
        <v>402157.5</v>
      </c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21764570.620000001</v>
      </c>
      <c r="G473" s="53">
        <f>SUM(G471:G472)</f>
        <v>299139.01</v>
      </c>
      <c r="H473" s="53">
        <f>SUM(H471:H472)</f>
        <v>402157.5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1177044.870000001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159834.29999999999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1280582.22</v>
      </c>
      <c r="G520" s="18">
        <v>517021.38</v>
      </c>
      <c r="H520" s="18">
        <v>27114.7</v>
      </c>
      <c r="I520" s="18">
        <v>8505.26</v>
      </c>
      <c r="J520" s="18">
        <v>15782.36</v>
      </c>
      <c r="K520" s="18">
        <v>887.02</v>
      </c>
      <c r="L520" s="88">
        <f>SUM(F520:K520)</f>
        <v>1849892.9400000002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1092289.2</v>
      </c>
      <c r="G521" s="18">
        <v>428569.62</v>
      </c>
      <c r="H521" s="18">
        <v>334356.55</v>
      </c>
      <c r="I521" s="18">
        <v>7259.72</v>
      </c>
      <c r="J521" s="18">
        <v>15232.02</v>
      </c>
      <c r="K521" s="18">
        <v>795.34</v>
      </c>
      <c r="L521" s="88">
        <f>SUM(F521:K521)</f>
        <v>1878502.45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51170.89</v>
      </c>
      <c r="G522" s="18">
        <v>16153.66</v>
      </c>
      <c r="H522" s="18">
        <v>797925.91</v>
      </c>
      <c r="I522" s="18"/>
      <c r="J522" s="18"/>
      <c r="K522" s="18"/>
      <c r="L522" s="88">
        <f>SUM(F522:K522)</f>
        <v>865250.46000000008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2424042.31</v>
      </c>
      <c r="G523" s="108">
        <f t="shared" ref="G523:L523" si="36">SUM(G520:G522)</f>
        <v>961744.66</v>
      </c>
      <c r="H523" s="108">
        <f t="shared" si="36"/>
        <v>1159397.1600000001</v>
      </c>
      <c r="I523" s="108">
        <f t="shared" si="36"/>
        <v>15764.98</v>
      </c>
      <c r="J523" s="108">
        <f t="shared" si="36"/>
        <v>31014.38</v>
      </c>
      <c r="K523" s="108">
        <f t="shared" si="36"/>
        <v>1682.3600000000001</v>
      </c>
      <c r="L523" s="89">
        <f t="shared" si="36"/>
        <v>4593645.8500000006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332593.24</v>
      </c>
      <c r="G525" s="18">
        <v>156237.65</v>
      </c>
      <c r="H525" s="18"/>
      <c r="I525" s="18">
        <v>2308.5100000000002</v>
      </c>
      <c r="J525" s="18"/>
      <c r="K525" s="18">
        <v>1144.8</v>
      </c>
      <c r="L525" s="88">
        <f>SUM(F525:K525)</f>
        <v>492284.2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177038.29</v>
      </c>
      <c r="G526" s="18">
        <v>83164.78</v>
      </c>
      <c r="H526" s="18"/>
      <c r="I526" s="18">
        <v>851.7</v>
      </c>
      <c r="J526" s="18">
        <v>683.99</v>
      </c>
      <c r="K526" s="18">
        <v>1144.8</v>
      </c>
      <c r="L526" s="88">
        <f>SUM(F526:K526)</f>
        <v>262883.56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9250.33</v>
      </c>
      <c r="G527" s="18">
        <v>4345.3999999999996</v>
      </c>
      <c r="H527" s="18"/>
      <c r="I527" s="18"/>
      <c r="J527" s="18"/>
      <c r="K527" s="18">
        <v>1144.8</v>
      </c>
      <c r="L527" s="88">
        <f>SUM(F527:K527)</f>
        <v>14740.529999999999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518881.86000000004</v>
      </c>
      <c r="G528" s="89">
        <f t="shared" ref="G528:L528" si="37">SUM(G525:G527)</f>
        <v>243747.83</v>
      </c>
      <c r="H528" s="89">
        <f t="shared" si="37"/>
        <v>0</v>
      </c>
      <c r="I528" s="89">
        <f t="shared" si="37"/>
        <v>3160.21</v>
      </c>
      <c r="J528" s="89">
        <f t="shared" si="37"/>
        <v>683.99</v>
      </c>
      <c r="K528" s="89">
        <f t="shared" si="37"/>
        <v>3434.3999999999996</v>
      </c>
      <c r="L528" s="89">
        <f t="shared" si="37"/>
        <v>769908.29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100825.67</v>
      </c>
      <c r="G530" s="18">
        <v>47363.45</v>
      </c>
      <c r="H530" s="18"/>
      <c r="I530" s="18">
        <v>415.59</v>
      </c>
      <c r="J530" s="18"/>
      <c r="K530" s="18"/>
      <c r="L530" s="88">
        <f>SUM(F530:K530)</f>
        <v>148604.71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112028.52</v>
      </c>
      <c r="G531" s="18">
        <v>52626.06</v>
      </c>
      <c r="H531" s="18"/>
      <c r="I531" s="18">
        <v>401.79</v>
      </c>
      <c r="J531" s="18"/>
      <c r="K531" s="18"/>
      <c r="L531" s="88">
        <f>SUM(F531:K531)</f>
        <v>165056.37000000002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22405.7</v>
      </c>
      <c r="G532" s="18">
        <v>10525.21</v>
      </c>
      <c r="H532" s="18"/>
      <c r="I532" s="18"/>
      <c r="J532" s="18"/>
      <c r="K532" s="18"/>
      <c r="L532" s="88">
        <f>SUM(F532:K532)</f>
        <v>32930.910000000003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235259.89</v>
      </c>
      <c r="G533" s="89">
        <f t="shared" ref="G533:L533" si="38">SUM(G530:G532)</f>
        <v>110514.72</v>
      </c>
      <c r="H533" s="89">
        <f t="shared" si="38"/>
        <v>0</v>
      </c>
      <c r="I533" s="89">
        <f t="shared" si="38"/>
        <v>817.38</v>
      </c>
      <c r="J533" s="89">
        <f t="shared" si="38"/>
        <v>0</v>
      </c>
      <c r="K533" s="89">
        <f t="shared" si="38"/>
        <v>0</v>
      </c>
      <c r="L533" s="89">
        <f t="shared" si="38"/>
        <v>346591.99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5600</v>
      </c>
      <c r="I535" s="18"/>
      <c r="J535" s="18"/>
      <c r="K535" s="18"/>
      <c r="L535" s="88">
        <f>SUM(F535:K535)</f>
        <v>5600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5600</v>
      </c>
      <c r="I536" s="18"/>
      <c r="J536" s="18"/>
      <c r="K536" s="18"/>
      <c r="L536" s="88">
        <f>SUM(F536:K536)</f>
        <v>5600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11200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11200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44914.23</v>
      </c>
      <c r="I540" s="18"/>
      <c r="J540" s="18"/>
      <c r="K540" s="18"/>
      <c r="L540" s="88">
        <f>SUM(F540:K540)</f>
        <v>44914.23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120782.87</v>
      </c>
      <c r="I541" s="18"/>
      <c r="J541" s="18"/>
      <c r="K541" s="18"/>
      <c r="L541" s="88">
        <f>SUM(F541:K541)</f>
        <v>120782.87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137777.44</v>
      </c>
      <c r="I542" s="18"/>
      <c r="J542" s="18"/>
      <c r="K542" s="18"/>
      <c r="L542" s="88">
        <f>SUM(F542:K542)</f>
        <v>137777.44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303474.54000000004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303474.54000000004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3178184.06</v>
      </c>
      <c r="G544" s="89">
        <f t="shared" ref="G544:L544" si="41">G523+G528+G533+G538+G543</f>
        <v>1316007.21</v>
      </c>
      <c r="H544" s="89">
        <f t="shared" si="41"/>
        <v>1474071.7000000002</v>
      </c>
      <c r="I544" s="89">
        <f t="shared" si="41"/>
        <v>19742.57</v>
      </c>
      <c r="J544" s="89">
        <f t="shared" si="41"/>
        <v>31698.370000000003</v>
      </c>
      <c r="K544" s="89">
        <f t="shared" si="41"/>
        <v>5116.76</v>
      </c>
      <c r="L544" s="89">
        <f t="shared" si="41"/>
        <v>6024820.6700000009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1849892.9400000002</v>
      </c>
      <c r="G548" s="87">
        <f>L525</f>
        <v>492284.2</v>
      </c>
      <c r="H548" s="87">
        <f>L530</f>
        <v>148604.71</v>
      </c>
      <c r="I548" s="87">
        <f>L535</f>
        <v>5600</v>
      </c>
      <c r="J548" s="87">
        <f>L540</f>
        <v>44914.23</v>
      </c>
      <c r="K548" s="87">
        <f>SUM(F548:J548)</f>
        <v>2541296.08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1878502.45</v>
      </c>
      <c r="G549" s="87">
        <f>L526</f>
        <v>262883.56</v>
      </c>
      <c r="H549" s="87">
        <f>L531</f>
        <v>165056.37000000002</v>
      </c>
      <c r="I549" s="87">
        <f>L536</f>
        <v>5600</v>
      </c>
      <c r="J549" s="87">
        <f>L541</f>
        <v>120782.87</v>
      </c>
      <c r="K549" s="87">
        <f>SUM(F549:J549)</f>
        <v>2432825.25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865250.46000000008</v>
      </c>
      <c r="G550" s="87">
        <f>L527</f>
        <v>14740.529999999999</v>
      </c>
      <c r="H550" s="87">
        <f>L532</f>
        <v>32930.910000000003</v>
      </c>
      <c r="I550" s="87">
        <f>L537</f>
        <v>0</v>
      </c>
      <c r="J550" s="87">
        <f>L542</f>
        <v>137777.44</v>
      </c>
      <c r="K550" s="87">
        <f>SUM(F550:J550)</f>
        <v>1050699.3400000001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4593645.8500000006</v>
      </c>
      <c r="G551" s="89">
        <f t="shared" si="42"/>
        <v>769908.29</v>
      </c>
      <c r="H551" s="89">
        <f t="shared" si="42"/>
        <v>346591.99</v>
      </c>
      <c r="I551" s="89">
        <f t="shared" si="42"/>
        <v>11200</v>
      </c>
      <c r="J551" s="89">
        <f t="shared" si="42"/>
        <v>303474.54000000004</v>
      </c>
      <c r="K551" s="89">
        <f t="shared" si="42"/>
        <v>6024820.6699999999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4576865.3</v>
      </c>
      <c r="I576" s="87">
        <f t="shared" si="47"/>
        <v>4576865.3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41178.83</v>
      </c>
      <c r="I578" s="87">
        <f t="shared" si="47"/>
        <v>41178.83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652728.16</v>
      </c>
      <c r="I580" s="87">
        <f t="shared" si="47"/>
        <v>652728.16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123</v>
      </c>
      <c r="G581" s="18">
        <v>310043.81</v>
      </c>
      <c r="H581" s="18">
        <v>487554.53</v>
      </c>
      <c r="I581" s="87">
        <f t="shared" si="47"/>
        <v>797721.34000000008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120541.25</v>
      </c>
      <c r="I582" s="87">
        <f t="shared" si="47"/>
        <v>120541.25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167606.32</v>
      </c>
      <c r="I590" s="18">
        <v>150282.23999999999</v>
      </c>
      <c r="J590" s="18">
        <v>166684.20000000001</v>
      </c>
      <c r="K590" s="104">
        <f t="shared" ref="K590:K596" si="48">SUM(H590:J590)</f>
        <v>484572.76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44914.23</v>
      </c>
      <c r="I591" s="18">
        <v>120782.87</v>
      </c>
      <c r="J591" s="18">
        <v>137777.45000000001</v>
      </c>
      <c r="K591" s="104">
        <f t="shared" si="48"/>
        <v>303474.55000000005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10935.85</v>
      </c>
      <c r="J593" s="18"/>
      <c r="K593" s="104">
        <f t="shared" si="48"/>
        <v>10935.85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1612.84</v>
      </c>
      <c r="J594" s="18"/>
      <c r="K594" s="104">
        <f t="shared" si="48"/>
        <v>1612.84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212520.55000000002</v>
      </c>
      <c r="I597" s="108">
        <f>SUM(I590:I596)</f>
        <v>283613.8</v>
      </c>
      <c r="J597" s="108">
        <f>SUM(J590:J596)</f>
        <v>304461.65000000002</v>
      </c>
      <c r="K597" s="108">
        <f>SUM(K590:K596)</f>
        <v>800596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62550.77</v>
      </c>
      <c r="I603" s="18">
        <v>70088.83</v>
      </c>
      <c r="J603" s="18"/>
      <c r="K603" s="104">
        <f>SUM(H603:J603)</f>
        <v>132639.6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62550.77</v>
      </c>
      <c r="I604" s="108">
        <f>SUM(I601:I603)</f>
        <v>70088.83</v>
      </c>
      <c r="J604" s="108">
        <f>SUM(J601:J603)</f>
        <v>0</v>
      </c>
      <c r="K604" s="108">
        <f>SUM(K601:K603)</f>
        <v>132639.6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3540862.8400000003</v>
      </c>
      <c r="H616" s="109">
        <f>SUM(F51)</f>
        <v>3540862.84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51958.96</v>
      </c>
      <c r="H617" s="109">
        <f>SUM(G51)</f>
        <v>51958.96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126905.11</v>
      </c>
      <c r="H618" s="109">
        <f>SUM(H51)</f>
        <v>126905.11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159834.29999999999</v>
      </c>
      <c r="H620" s="109">
        <f>SUM(J51)</f>
        <v>159834.29999999999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1177044.8700000001</v>
      </c>
      <c r="H621" s="109">
        <f>F475</f>
        <v>1177044.870000001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159834.29999999999</v>
      </c>
      <c r="H625" s="109">
        <f>J475</f>
        <v>159834.29999999999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21551434.649999999</v>
      </c>
      <c r="H626" s="104">
        <f>SUM(F467)</f>
        <v>21551434.650000002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299139.01</v>
      </c>
      <c r="H627" s="104">
        <f>SUM(G467)</f>
        <v>299139.01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402157.5</v>
      </c>
      <c r="H628" s="104">
        <f>SUM(H467)</f>
        <v>402157.5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75994.039999999994</v>
      </c>
      <c r="H630" s="104">
        <f>SUM(J467)</f>
        <v>75994.039999999994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21764570.619999997</v>
      </c>
      <c r="H631" s="104">
        <f>SUM(F471)</f>
        <v>21764570.620000001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402157.5</v>
      </c>
      <c r="H632" s="104">
        <f>SUM(H471)</f>
        <v>402157.5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12264.26</v>
      </c>
      <c r="H633" s="104">
        <f>I368</f>
        <v>12264.26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299139.01</v>
      </c>
      <c r="H634" s="104">
        <f>SUM(G471)</f>
        <v>299139.01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75994.039999999994</v>
      </c>
      <c r="H636" s="164">
        <f>SUM(J467)</f>
        <v>75994.039999999994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159834.29999999999</v>
      </c>
      <c r="H638" s="104">
        <f>SUM(F460)</f>
        <v>159834.29999999999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159834.29999999999</v>
      </c>
      <c r="H641" s="104">
        <f>SUM(I460)</f>
        <v>159834.29999999999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994.04</v>
      </c>
      <c r="H643" s="104">
        <f>H407</f>
        <v>994.04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75994.039999999994</v>
      </c>
      <c r="H645" s="104">
        <f>L407</f>
        <v>75994.039999999994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800596</v>
      </c>
      <c r="H646" s="104">
        <f>L207+L225+L243</f>
        <v>800596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132639.6</v>
      </c>
      <c r="H647" s="104">
        <f>(J256+J337)-(J254+J335)</f>
        <v>132639.59999999998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212520.55</v>
      </c>
      <c r="H648" s="104">
        <f>H597</f>
        <v>212520.55000000002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283613.8</v>
      </c>
      <c r="H649" s="104">
        <f>I597</f>
        <v>283613.8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304461.65000000002</v>
      </c>
      <c r="H650" s="104">
        <f>J597</f>
        <v>304461.65000000002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10747.4</v>
      </c>
      <c r="H651" s="104">
        <f>K262+K344</f>
        <v>10747.4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7831887.9499999993</v>
      </c>
      <c r="G659" s="19">
        <f>(L228+L308+L358)</f>
        <v>7801631.3099999987</v>
      </c>
      <c r="H659" s="19">
        <f>(L246+L327+L359)</f>
        <v>6359876.2500000009</v>
      </c>
      <c r="I659" s="19">
        <f>SUM(F659:H659)</f>
        <v>21993395.509999998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122473.87804970004</v>
      </c>
      <c r="G660" s="19">
        <f>(L358/IF(SUM(L357:L359)=0,1,SUM(L357:L359))*(SUM(G96:G109)))</f>
        <v>95661.401950299944</v>
      </c>
      <c r="H660" s="19">
        <f>(L359/IF(SUM(L357:L359)=0,1,SUM(L357:L359))*(SUM(G96:G109)))</f>
        <v>0</v>
      </c>
      <c r="I660" s="19">
        <f>SUM(F660:H660)</f>
        <v>218135.27999999997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212520.55</v>
      </c>
      <c r="G661" s="19">
        <f>(L225+L305)-(J225+J305)</f>
        <v>283613.8</v>
      </c>
      <c r="H661" s="19">
        <f>(L243+L324)-(J243+J324)</f>
        <v>304461.65000000002</v>
      </c>
      <c r="I661" s="19">
        <f>SUM(F661:H661)</f>
        <v>800596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62673.77</v>
      </c>
      <c r="G662" s="199">
        <f>SUM(G574:G586)+SUM(I601:I603)+L611</f>
        <v>380132.64</v>
      </c>
      <c r="H662" s="199">
        <f>SUM(H574:H586)+SUM(J601:J603)+L612</f>
        <v>5878868.0700000003</v>
      </c>
      <c r="I662" s="19">
        <f>SUM(F662:H662)</f>
        <v>6321674.4800000004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7434219.7519502994</v>
      </c>
      <c r="G663" s="19">
        <f>G659-SUM(G660:G662)</f>
        <v>7042223.4680496985</v>
      </c>
      <c r="H663" s="19">
        <f>H659-SUM(H660:H662)</f>
        <v>176546.53000000026</v>
      </c>
      <c r="I663" s="19">
        <f>I659-SUM(I660:I662)</f>
        <v>14652989.749999996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461.68</v>
      </c>
      <c r="G664" s="248">
        <v>413.96</v>
      </c>
      <c r="H664" s="248"/>
      <c r="I664" s="19">
        <f>SUM(F664:H664)</f>
        <v>875.64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16102.54</v>
      </c>
      <c r="G666" s="19">
        <f>ROUND(G663/G664,2)</f>
        <v>17011.849999999999</v>
      </c>
      <c r="H666" s="19" t="e">
        <f>ROUND(H663/H664,2)</f>
        <v>#DIV/0!</v>
      </c>
      <c r="I666" s="19">
        <f>ROUND(I663/I664,2)</f>
        <v>16734.03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-176546.53</v>
      </c>
      <c r="I668" s="19">
        <f>SUM(F668:H668)</f>
        <v>-176546.53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16102.54</v>
      </c>
      <c r="G671" s="19">
        <f>ROUND((G663+G668)/(G664+G669),2)</f>
        <v>17011.849999999999</v>
      </c>
      <c r="H671" s="19" t="e">
        <f>ROUND((H663+H668)/(H664+H669),2)</f>
        <v>#DIV/0!</v>
      </c>
      <c r="I671" s="19">
        <f>ROUND((I663+I668)/(I664+I669),2)</f>
        <v>16532.41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HAMPSTEAD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4655581.3499999996</v>
      </c>
      <c r="C9" s="229">
        <f>'DOE25'!G196+'DOE25'!G214+'DOE25'!G232+'DOE25'!G275+'DOE25'!G294+'DOE25'!G313</f>
        <v>2167777.91</v>
      </c>
    </row>
    <row r="10" spans="1:3" x14ac:dyDescent="0.2">
      <c r="A10" t="s">
        <v>779</v>
      </c>
      <c r="B10" s="240">
        <v>4168582.83</v>
      </c>
      <c r="C10" s="240">
        <f>B10/B13*C9</f>
        <v>1941016.8345311563</v>
      </c>
    </row>
    <row r="11" spans="1:3" x14ac:dyDescent="0.2">
      <c r="A11" t="s">
        <v>780</v>
      </c>
      <c r="B11" s="240">
        <v>188904.79</v>
      </c>
      <c r="C11" s="240">
        <f>B11/B13*C9</f>
        <v>87959.719757703075</v>
      </c>
    </row>
    <row r="12" spans="1:3" x14ac:dyDescent="0.2">
      <c r="A12" t="s">
        <v>781</v>
      </c>
      <c r="B12" s="240">
        <f>B9-B10-B11</f>
        <v>298093.72999999952</v>
      </c>
      <c r="C12" s="240">
        <f>C9-C10-C11</f>
        <v>138801.35571114073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4655581.3499999996</v>
      </c>
      <c r="C13" s="231">
        <f>SUM(C10:C12)</f>
        <v>2167777.91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2371922.7100000004</v>
      </c>
      <c r="C18" s="229">
        <f>'DOE25'!G197+'DOE25'!G215+'DOE25'!G233+'DOE25'!G276+'DOE25'!G295+'DOE25'!G314</f>
        <v>1028822</v>
      </c>
    </row>
    <row r="19" spans="1:3" x14ac:dyDescent="0.2">
      <c r="A19" t="s">
        <v>779</v>
      </c>
      <c r="B19" s="240">
        <v>1267144.1599999999</v>
      </c>
      <c r="C19" s="240">
        <f>B19/B22*C18</f>
        <v>549624.05962187517</v>
      </c>
    </row>
    <row r="20" spans="1:3" x14ac:dyDescent="0.2">
      <c r="A20" t="s">
        <v>780</v>
      </c>
      <c r="B20" s="240">
        <v>827402.47</v>
      </c>
      <c r="C20" s="240">
        <f>B20/B22*C18</f>
        <v>358886.00433794904</v>
      </c>
    </row>
    <row r="21" spans="1:3" x14ac:dyDescent="0.2">
      <c r="A21" t="s">
        <v>781</v>
      </c>
      <c r="B21" s="240">
        <f>B18-B19-B20</f>
        <v>277376.08000000054</v>
      </c>
      <c r="C21" s="240">
        <f>C18-C19-C20</f>
        <v>120311.93604017579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2371922.7100000004</v>
      </c>
      <c r="C22" s="231">
        <f>SUM(C19:C21)</f>
        <v>1028822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47588.639999999999</v>
      </c>
      <c r="C36" s="235">
        <f>'DOE25'!G199+'DOE25'!G217+'DOE25'!G235+'DOE25'!G278+'DOE25'!G297+'DOE25'!G316</f>
        <v>22355.050000000003</v>
      </c>
    </row>
    <row r="37" spans="1:3" x14ac:dyDescent="0.2">
      <c r="A37" t="s">
        <v>779</v>
      </c>
      <c r="B37" s="240">
        <v>44484.639999999999</v>
      </c>
      <c r="C37" s="240">
        <f>B37/B40*C36</f>
        <v>20896.92732198273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B36-B37</f>
        <v>3104</v>
      </c>
      <c r="C39" s="240">
        <f>C36-C37</f>
        <v>1458.1226780172728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47588.639999999999</v>
      </c>
      <c r="C40" s="231">
        <f>SUM(C37:C39)</f>
        <v>22355.050000000003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topLeftCell="B1"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HAMPSTEAD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16575050.969999999</v>
      </c>
      <c r="D5" s="20">
        <f>SUM('DOE25'!L196:L199)+SUM('DOE25'!L214:L217)+SUM('DOE25'!L232:L235)-F5-G5</f>
        <v>16480109.83</v>
      </c>
      <c r="E5" s="243"/>
      <c r="F5" s="255">
        <f>SUM('DOE25'!J196:J199)+SUM('DOE25'!J214:J217)+SUM('DOE25'!J232:J235)</f>
        <v>76555.600000000006</v>
      </c>
      <c r="G5" s="53">
        <f>SUM('DOE25'!K196:K199)+SUM('DOE25'!K214:K217)+SUM('DOE25'!K232:K235)</f>
        <v>18385.54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1105184.1400000001</v>
      </c>
      <c r="D6" s="20">
        <f>'DOE25'!L201+'DOE25'!L219+'DOE25'!L237-F6-G6</f>
        <v>1100175.5900000001</v>
      </c>
      <c r="E6" s="243"/>
      <c r="F6" s="255">
        <f>'DOE25'!J201+'DOE25'!J219+'DOE25'!J237</f>
        <v>1721.75</v>
      </c>
      <c r="G6" s="53">
        <f>'DOE25'!K201+'DOE25'!K219+'DOE25'!K237</f>
        <v>3286.8</v>
      </c>
      <c r="H6" s="259"/>
    </row>
    <row r="7" spans="1:9" x14ac:dyDescent="0.2">
      <c r="A7" s="32">
        <v>2200</v>
      </c>
      <c r="B7" t="s">
        <v>834</v>
      </c>
      <c r="C7" s="245">
        <f t="shared" si="0"/>
        <v>288239.55999999994</v>
      </c>
      <c r="D7" s="20">
        <f>'DOE25'!L202+'DOE25'!L220+'DOE25'!L238-F7-G7</f>
        <v>285609.49999999994</v>
      </c>
      <c r="E7" s="243"/>
      <c r="F7" s="255">
        <f>'DOE25'!J202+'DOE25'!J220+'DOE25'!J238</f>
        <v>2630.06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277063.32</v>
      </c>
      <c r="D8" s="243"/>
      <c r="E8" s="20">
        <f>'DOE25'!L203+'DOE25'!L221+'DOE25'!L239-F8-G8-D9-D11</f>
        <v>257772.25</v>
      </c>
      <c r="F8" s="255">
        <f>'DOE25'!J203+'DOE25'!J221+'DOE25'!J239</f>
        <v>0</v>
      </c>
      <c r="G8" s="53">
        <f>'DOE25'!K203+'DOE25'!K221+'DOE25'!K239</f>
        <v>19291.07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4000</v>
      </c>
      <c r="D9" s="244">
        <v>4000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17385</v>
      </c>
      <c r="D10" s="243"/>
      <c r="E10" s="244">
        <v>17385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70356.31</v>
      </c>
      <c r="D11" s="244">
        <v>70356.31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835863.23</v>
      </c>
      <c r="D12" s="20">
        <f>'DOE25'!L204+'DOE25'!L222+'DOE25'!L240-F12-G12</f>
        <v>828486.40999999992</v>
      </c>
      <c r="E12" s="243"/>
      <c r="F12" s="255">
        <f>'DOE25'!J204+'DOE25'!J222+'DOE25'!J240</f>
        <v>2773.77</v>
      </c>
      <c r="G12" s="53">
        <f>'DOE25'!K204+'DOE25'!K222+'DOE25'!K240</f>
        <v>4603.05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1329630.4699999997</v>
      </c>
      <c r="D14" s="20">
        <f>'DOE25'!L206+'DOE25'!L224+'DOE25'!L242-F14-G14</f>
        <v>1315294.4499999997</v>
      </c>
      <c r="E14" s="243"/>
      <c r="F14" s="255">
        <f>'DOE25'!J206+'DOE25'!J224+'DOE25'!J242</f>
        <v>9174.42</v>
      </c>
      <c r="G14" s="53">
        <f>'DOE25'!K206+'DOE25'!K224+'DOE25'!K242</f>
        <v>5161.6000000000004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800596</v>
      </c>
      <c r="D15" s="20">
        <f>'DOE25'!L207+'DOE25'!L225+'DOE25'!L243-F15-G15</f>
        <v>800596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6115</v>
      </c>
      <c r="D16" s="243"/>
      <c r="E16" s="20">
        <f>'DOE25'!L208+'DOE25'!L226+'DOE25'!L244-F16-G16</f>
        <v>6115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16067.879999999997</v>
      </c>
      <c r="D19" s="20">
        <f>'DOE25'!L252-F19-G19</f>
        <v>16067.879999999997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370656.34</v>
      </c>
      <c r="D22" s="243"/>
      <c r="E22" s="243"/>
      <c r="F22" s="255">
        <f>'DOE25'!L254+'DOE25'!L335</f>
        <v>370656.34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286874.75</v>
      </c>
      <c r="D29" s="20">
        <f>'DOE25'!L357+'DOE25'!L358+'DOE25'!L359-'DOE25'!I366-F29-G29</f>
        <v>281894.65000000002</v>
      </c>
      <c r="E29" s="243"/>
      <c r="F29" s="255">
        <f>'DOE25'!J357+'DOE25'!J358+'DOE25'!J359</f>
        <v>0</v>
      </c>
      <c r="G29" s="53">
        <f>'DOE25'!K357+'DOE25'!K358+'DOE25'!K359</f>
        <v>4980.1000000000004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402157.5</v>
      </c>
      <c r="D31" s="20">
        <f>'DOE25'!L289+'DOE25'!L308+'DOE25'!L327+'DOE25'!L332+'DOE25'!L333+'DOE25'!L334-F31-G31</f>
        <v>360647.66</v>
      </c>
      <c r="E31" s="243"/>
      <c r="F31" s="255">
        <f>'DOE25'!J289+'DOE25'!J308+'DOE25'!J327+'DOE25'!J332+'DOE25'!J333+'DOE25'!J334</f>
        <v>39784</v>
      </c>
      <c r="G31" s="53">
        <f>'DOE25'!K289+'DOE25'!K308+'DOE25'!K327+'DOE25'!K332+'DOE25'!K333+'DOE25'!K334</f>
        <v>1725.8400000000001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21543238.279999997</v>
      </c>
      <c r="E33" s="246">
        <f>SUM(E5:E31)</f>
        <v>281272.25</v>
      </c>
      <c r="F33" s="246">
        <f>SUM(F5:F31)</f>
        <v>503295.94000000006</v>
      </c>
      <c r="G33" s="246">
        <f>SUM(G5:G31)</f>
        <v>57434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281272.25</v>
      </c>
      <c r="E35" s="249"/>
    </row>
    <row r="36" spans="2:8" ht="12" thickTop="1" x14ac:dyDescent="0.2">
      <c r="B36" t="s">
        <v>815</v>
      </c>
      <c r="D36" s="20">
        <f>D33</f>
        <v>21543238.279999997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HAMPSTEAD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3364447.93</v>
      </c>
      <c r="D8" s="95">
        <f>'DOE25'!G9</f>
        <v>28677.8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159834.29999999999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170889.18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11654.86</v>
      </c>
      <c r="E12" s="95">
        <f>'DOE25'!H13</f>
        <v>126905.11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5525.73</v>
      </c>
      <c r="D13" s="95">
        <f>'DOE25'!G14</f>
        <v>2150.2000000000007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9476.1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3540862.8400000003</v>
      </c>
      <c r="D18" s="41">
        <f>SUM(D8:D17)</f>
        <v>51958.96</v>
      </c>
      <c r="E18" s="41">
        <f>SUM(E8:E17)</f>
        <v>126905.11</v>
      </c>
      <c r="F18" s="41">
        <f>SUM(F8:F17)</f>
        <v>0</v>
      </c>
      <c r="G18" s="41">
        <f>SUM(G8:G17)</f>
        <v>159834.29999999999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46424.52</v>
      </c>
      <c r="E21" s="95">
        <f>'DOE25'!H22</f>
        <v>124464.66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2220333.4500000002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77508.509999999995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63376.01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2600</v>
      </c>
      <c r="D29" s="95">
        <f>'DOE25'!G30</f>
        <v>5534.44</v>
      </c>
      <c r="E29" s="95">
        <f>'DOE25'!H30</f>
        <v>2440.4499999999998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2363817.9699999997</v>
      </c>
      <c r="D31" s="41">
        <f>SUM(D21:D30)</f>
        <v>51958.96</v>
      </c>
      <c r="E31" s="41">
        <f>SUM(E21:E30)</f>
        <v>126905.11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315944.61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159834.29999999999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786100.26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1177044.8700000001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159834.29999999999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3540862.84</v>
      </c>
      <c r="D50" s="41">
        <f>D49+D31</f>
        <v>51958.96</v>
      </c>
      <c r="E50" s="41">
        <f>E49+E31</f>
        <v>126905.11</v>
      </c>
      <c r="F50" s="41">
        <f>F49+F31</f>
        <v>0</v>
      </c>
      <c r="G50" s="41">
        <f>G49+G31</f>
        <v>159834.29999999999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15024955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125026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2410.38</v>
      </c>
      <c r="D58" s="95">
        <f>'DOE25'!G95</f>
        <v>3.57</v>
      </c>
      <c r="E58" s="95">
        <f>'DOE25'!H95</f>
        <v>0</v>
      </c>
      <c r="F58" s="95">
        <f>'DOE25'!I95</f>
        <v>0</v>
      </c>
      <c r="G58" s="95">
        <f>'DOE25'!J95</f>
        <v>994.04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218135.28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444.79</v>
      </c>
      <c r="D60" s="95">
        <f>SUM('DOE25'!G97:G109)</f>
        <v>0</v>
      </c>
      <c r="E60" s="95">
        <f>SUM('DOE25'!H97:H109)</f>
        <v>11443.14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127881.17</v>
      </c>
      <c r="D61" s="130">
        <f>SUM(D56:D60)</f>
        <v>218138.85</v>
      </c>
      <c r="E61" s="130">
        <f>SUM(E56:E60)</f>
        <v>11443.14</v>
      </c>
      <c r="F61" s="130">
        <f>SUM(F56:F60)</f>
        <v>0</v>
      </c>
      <c r="G61" s="130">
        <f>SUM(G56:G60)</f>
        <v>994.04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15152836.17</v>
      </c>
      <c r="D62" s="22">
        <f>D55+D61</f>
        <v>218138.85</v>
      </c>
      <c r="E62" s="22">
        <f>E55+E61</f>
        <v>11443.14</v>
      </c>
      <c r="F62" s="22">
        <f>F55+F61</f>
        <v>0</v>
      </c>
      <c r="G62" s="22">
        <f>G55+G61</f>
        <v>994.04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3435071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2379918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334.08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5815323.0800000001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416145.61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2980.21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416145.61</v>
      </c>
      <c r="D77" s="130">
        <f>SUM(D71:D76)</f>
        <v>2980.21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6231468.6900000004</v>
      </c>
      <c r="D80" s="130">
        <f>SUM(D78:D79)+D77+D69</f>
        <v>2980.21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167129.79</v>
      </c>
      <c r="D87" s="95">
        <f>SUM('DOE25'!G152:G160)</f>
        <v>67272.55</v>
      </c>
      <c r="E87" s="95">
        <f>SUM('DOE25'!H152:H160)</f>
        <v>390714.36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167129.79</v>
      </c>
      <c r="D90" s="131">
        <f>SUM(D84:D89)</f>
        <v>67272.55</v>
      </c>
      <c r="E90" s="131">
        <f>SUM(E84:E89)</f>
        <v>390714.36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10747.4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10747.4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21551434.649999999</v>
      </c>
      <c r="D103" s="86">
        <f>D62+D80+D90+D102</f>
        <v>299139.01</v>
      </c>
      <c r="E103" s="86">
        <f>E62+E80+E90+E102</f>
        <v>402157.5</v>
      </c>
      <c r="F103" s="86">
        <f>F62+F80+F90+F102</f>
        <v>0</v>
      </c>
      <c r="G103" s="86">
        <f>G62+G80+G102</f>
        <v>75994.039999999994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11641902.76</v>
      </c>
      <c r="D108" s="24" t="s">
        <v>289</v>
      </c>
      <c r="E108" s="95">
        <f>('DOE25'!L275)+('DOE25'!L294)+('DOE25'!L313)</f>
        <v>61958.520000000004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4845859.28</v>
      </c>
      <c r="D109" s="24" t="s">
        <v>289</v>
      </c>
      <c r="E109" s="95">
        <f>('DOE25'!L276)+('DOE25'!L295)+('DOE25'!L314)</f>
        <v>280201.27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87288.930000000008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16067.879999999997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16591118.85</v>
      </c>
      <c r="D114" s="86">
        <f>SUM(D108:D113)</f>
        <v>0</v>
      </c>
      <c r="E114" s="86">
        <f>SUM(E108:E113)</f>
        <v>342159.79000000004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1105184.1400000001</v>
      </c>
      <c r="D117" s="24" t="s">
        <v>289</v>
      </c>
      <c r="E117" s="95">
        <f>+('DOE25'!L280)+('DOE25'!L299)+('DOE25'!L318)</f>
        <v>15978.550000000001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288239.55999999994</v>
      </c>
      <c r="D118" s="24" t="s">
        <v>289</v>
      </c>
      <c r="E118" s="95">
        <f>+('DOE25'!L281)+('DOE25'!L300)+('DOE25'!L319)</f>
        <v>44019.16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351419.63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835863.23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1329630.4699999997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800596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6115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299139.01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4717048.0299999993</v>
      </c>
      <c r="D127" s="86">
        <f>SUM(D117:D126)</f>
        <v>299139.01</v>
      </c>
      <c r="E127" s="86">
        <f>SUM(E117:E126)</f>
        <v>59997.710000000006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370656.34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10747.4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75994.039999999994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-994.0399999999936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456403.74000000005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21764570.619999997</v>
      </c>
      <c r="D144" s="86">
        <f>(D114+D127+D143)</f>
        <v>299139.01</v>
      </c>
      <c r="E144" s="86">
        <f>(E114+E127+E143)</f>
        <v>402157.50000000006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5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HAMPSTEAD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16103</v>
      </c>
    </row>
    <row r="5" spans="1:4" x14ac:dyDescent="0.2">
      <c r="B5" t="s">
        <v>704</v>
      </c>
      <c r="C5" s="179">
        <f>IF('DOE25'!G664+'DOE25'!G669=0,0,ROUND('DOE25'!G671,0))</f>
        <v>17012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16532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11703861</v>
      </c>
      <c r="D10" s="182">
        <f>ROUND((C10/$C$28)*100,1)</f>
        <v>53.7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5126061</v>
      </c>
      <c r="D11" s="182">
        <f>ROUND((C11/$C$28)*100,1)</f>
        <v>23.5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87289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1121163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332259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357535</v>
      </c>
      <c r="D17" s="182">
        <f t="shared" si="0"/>
        <v>1.6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835863</v>
      </c>
      <c r="D18" s="182">
        <f t="shared" si="0"/>
        <v>3.8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1329630</v>
      </c>
      <c r="D20" s="182">
        <f t="shared" si="0"/>
        <v>6.1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800596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16068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81003.72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21791328.719999999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370656</v>
      </c>
    </row>
    <row r="30" spans="1:4" x14ac:dyDescent="0.2">
      <c r="B30" s="187" t="s">
        <v>729</v>
      </c>
      <c r="C30" s="180">
        <f>SUM(C28:C29)</f>
        <v>22161984.719999999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15024955</v>
      </c>
      <c r="D35" s="182">
        <f t="shared" ref="D35:D40" si="1">ROUND((C35/$C$41)*100,1)</f>
        <v>68.2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140321.91999999993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5814989</v>
      </c>
      <c r="D37" s="182">
        <f t="shared" si="1"/>
        <v>26.4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419460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625117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22024842.920000002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HAMPSTEAD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BP40:BZ40"/>
    <mergeCell ref="CC40:CM40"/>
    <mergeCell ref="C45:M45"/>
    <mergeCell ref="DC40:DM40"/>
    <mergeCell ref="EP40:EZ40"/>
    <mergeCell ref="C44:M44"/>
    <mergeCell ref="DP40:DZ40"/>
    <mergeCell ref="CP40:CZ40"/>
    <mergeCell ref="AP40:AZ40"/>
    <mergeCell ref="HC39:HM39"/>
    <mergeCell ref="C43:M43"/>
    <mergeCell ref="BC40:BM40"/>
    <mergeCell ref="EC39:EM39"/>
    <mergeCell ref="GC39:GM39"/>
    <mergeCell ref="BP39:BZ39"/>
    <mergeCell ref="CC39:CM39"/>
    <mergeCell ref="CP39:CZ39"/>
    <mergeCell ref="P39:Z39"/>
    <mergeCell ref="P40:Z40"/>
    <mergeCell ref="AP39:AZ39"/>
    <mergeCell ref="HP40:HZ40"/>
    <mergeCell ref="EC40:EM40"/>
    <mergeCell ref="IP39:IV39"/>
    <mergeCell ref="EP39:EZ39"/>
    <mergeCell ref="FC39:FM39"/>
    <mergeCell ref="FP39:FZ39"/>
    <mergeCell ref="GP39:GZ39"/>
    <mergeCell ref="HP39:HZ39"/>
    <mergeCell ref="IC39:IM39"/>
    <mergeCell ref="IP40:IV40"/>
    <mergeCell ref="IC40:IM40"/>
    <mergeCell ref="IC38:IM38"/>
    <mergeCell ref="AC39:AM39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AC38:AM38"/>
    <mergeCell ref="AP38:AZ38"/>
    <mergeCell ref="HP38:HZ38"/>
    <mergeCell ref="GC38:GM38"/>
    <mergeCell ref="GP38:GZ38"/>
    <mergeCell ref="HC38:HM38"/>
    <mergeCell ref="FP38:FZ38"/>
    <mergeCell ref="DP39:DZ39"/>
    <mergeCell ref="DP38:DZ38"/>
    <mergeCell ref="EC38:EM38"/>
    <mergeCell ref="DC31:DM31"/>
    <mergeCell ref="DP31:DZ31"/>
    <mergeCell ref="EC31:EM31"/>
    <mergeCell ref="GC30:GM30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FC30:FM30"/>
    <mergeCell ref="FP30:FZ30"/>
    <mergeCell ref="FC31:FM31"/>
    <mergeCell ref="FP31:FZ31"/>
    <mergeCell ref="GC31:GM31"/>
    <mergeCell ref="GP31:GZ31"/>
    <mergeCell ref="BC31:BM31"/>
    <mergeCell ref="BC32:BM32"/>
    <mergeCell ref="BC39:BM39"/>
    <mergeCell ref="BP31:BZ31"/>
    <mergeCell ref="CC31:CM31"/>
    <mergeCell ref="DC32:DM32"/>
    <mergeCell ref="BP32:BZ32"/>
    <mergeCell ref="CP31:CZ31"/>
    <mergeCell ref="CC32:CM32"/>
    <mergeCell ref="DC39:DM39"/>
    <mergeCell ref="DC38:DM38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FP32:FZ32"/>
    <mergeCell ref="GC32:GM32"/>
    <mergeCell ref="HC32:HM32"/>
    <mergeCell ref="HP31:HZ31"/>
    <mergeCell ref="HP30:HZ30"/>
    <mergeCell ref="HC31:HM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C41:M41"/>
    <mergeCell ref="C33:M33"/>
    <mergeCell ref="C37:M37"/>
    <mergeCell ref="P32:Z32"/>
    <mergeCell ref="AC32:AM32"/>
    <mergeCell ref="C34:M34"/>
    <mergeCell ref="C32:M32"/>
    <mergeCell ref="C35:M35"/>
    <mergeCell ref="C36:M36"/>
    <mergeCell ref="C38:M38"/>
    <mergeCell ref="P38:Z38"/>
    <mergeCell ref="P31:Z31"/>
    <mergeCell ref="AC31:AM31"/>
    <mergeCell ref="AP31:AZ31"/>
    <mergeCell ref="AP32:AZ32"/>
    <mergeCell ref="P30:Z30"/>
    <mergeCell ref="AC30:AM30"/>
    <mergeCell ref="AP30:AZ30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14:M14"/>
    <mergeCell ref="C15:M15"/>
    <mergeCell ref="C16:M16"/>
    <mergeCell ref="C17:M17"/>
    <mergeCell ref="C18:M18"/>
    <mergeCell ref="C19:M19"/>
    <mergeCell ref="C20:M20"/>
    <mergeCell ref="DC29:DM29"/>
    <mergeCell ref="BC29:BM29"/>
    <mergeCell ref="BP29:BZ29"/>
    <mergeCell ref="CC29:CM29"/>
    <mergeCell ref="AP29:AZ29"/>
    <mergeCell ref="C30:M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1:M31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58:M58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60:M60"/>
    <mergeCell ref="C62:M62"/>
    <mergeCell ref="C61:M6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2013-09-21T09:51:35Z</cp:lastPrinted>
  <dcterms:created xsi:type="dcterms:W3CDTF">1997-12-04T19:04:30Z</dcterms:created>
  <dcterms:modified xsi:type="dcterms:W3CDTF">2013-10-28T15:20:35Z</dcterms:modified>
</cp:coreProperties>
</file>