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G521" i="1" l="1"/>
  <c r="G520" i="1"/>
  <c r="G531" i="1"/>
  <c r="G530" i="1"/>
  <c r="H521" i="1"/>
  <c r="I521" i="1"/>
  <c r="K521" i="1"/>
  <c r="K520" i="1"/>
  <c r="I520" i="1"/>
  <c r="H520" i="1"/>
  <c r="J521" i="1"/>
  <c r="J520" i="1"/>
  <c r="F521" i="1"/>
  <c r="F520" i="1"/>
  <c r="H603" i="1" l="1"/>
  <c r="J254" i="1"/>
  <c r="H254" i="1"/>
  <c r="D11" i="13"/>
  <c r="D9" i="13"/>
  <c r="C19" i="12"/>
  <c r="C21" i="12"/>
  <c r="C20" i="12"/>
  <c r="C10" i="12"/>
  <c r="C11" i="12"/>
  <c r="C12" i="12"/>
  <c r="B20" i="12"/>
  <c r="B11" i="12"/>
  <c r="B10" i="12"/>
  <c r="B12" i="12"/>
  <c r="B37" i="12"/>
  <c r="B21" i="12"/>
  <c r="B19" i="12"/>
  <c r="F471" i="1"/>
  <c r="F9" i="1"/>
  <c r="F17" i="1"/>
  <c r="I17" i="1"/>
  <c r="F12" i="1"/>
  <c r="F464" i="1"/>
  <c r="G562" i="1"/>
  <c r="G561" i="1"/>
  <c r="F562" i="1"/>
  <c r="F561" i="1"/>
  <c r="J252" i="1"/>
  <c r="I252" i="1"/>
  <c r="F29" i="1"/>
  <c r="F109" i="1"/>
  <c r="H206" i="1" l="1"/>
  <c r="F196" i="1"/>
  <c r="G96" i="1" l="1"/>
  <c r="G467" i="1"/>
  <c r="I603" i="1" l="1"/>
  <c r="H158" i="1"/>
  <c r="H154" i="1"/>
  <c r="H153" i="1"/>
  <c r="H294" i="1" l="1"/>
  <c r="I276" i="1"/>
  <c r="H276" i="1"/>
  <c r="G276" i="1"/>
  <c r="F276" i="1"/>
  <c r="J295" i="1"/>
  <c r="J276" i="1"/>
  <c r="I295" i="1"/>
  <c r="H295" i="1"/>
  <c r="G295" i="1"/>
  <c r="F295" i="1"/>
  <c r="H275" i="1"/>
  <c r="G294" i="1"/>
  <c r="G275" i="1"/>
  <c r="F294" i="1"/>
  <c r="F275" i="1"/>
  <c r="K275" i="1"/>
  <c r="I275" i="1"/>
  <c r="J294" i="1"/>
  <c r="I294" i="1"/>
  <c r="K294" i="1"/>
  <c r="H540" i="1" l="1"/>
  <c r="F526" i="1"/>
  <c r="F525" i="1"/>
  <c r="F531" i="1"/>
  <c r="F530" i="1"/>
  <c r="F581" i="1"/>
  <c r="J95" i="1"/>
  <c r="F56" i="1"/>
  <c r="I249" i="1"/>
  <c r="F501" i="1"/>
  <c r="G501" i="1"/>
  <c r="G498" i="1"/>
  <c r="F498" i="1"/>
  <c r="G497" i="1"/>
  <c r="F497" i="1"/>
  <c r="H596" i="1"/>
  <c r="H594" i="1"/>
  <c r="H591" i="1"/>
  <c r="H590" i="1"/>
  <c r="G367" i="1"/>
  <c r="F367" i="1"/>
  <c r="G366" i="1"/>
  <c r="F366" i="1"/>
  <c r="J467" i="1"/>
  <c r="G439" i="1"/>
  <c r="H396" i="1"/>
  <c r="K358" i="1" l="1"/>
  <c r="K357" i="1"/>
  <c r="H357" i="1"/>
  <c r="I357" i="1"/>
  <c r="H358" i="1"/>
  <c r="I358" i="1"/>
  <c r="F358" i="1"/>
  <c r="F357" i="1"/>
  <c r="H207" i="1" l="1"/>
  <c r="H225" i="1"/>
  <c r="H224" i="1"/>
  <c r="H204" i="1"/>
  <c r="J224" i="1"/>
  <c r="I224" i="1"/>
  <c r="K206" i="1"/>
  <c r="J206" i="1"/>
  <c r="I206" i="1"/>
  <c r="F206" i="1"/>
  <c r="K204" i="1"/>
  <c r="I204" i="1"/>
  <c r="H222" i="1"/>
  <c r="F222" i="1"/>
  <c r="F204" i="1"/>
  <c r="K221" i="1"/>
  <c r="K203" i="1"/>
  <c r="J221" i="1"/>
  <c r="J203" i="1"/>
  <c r="I221" i="1"/>
  <c r="I203" i="1"/>
  <c r="H221" i="1"/>
  <c r="H203" i="1"/>
  <c r="F221" i="1"/>
  <c r="F203" i="1"/>
  <c r="K260" i="1"/>
  <c r="K259" i="1"/>
  <c r="H220" i="1"/>
  <c r="H202" i="1"/>
  <c r="F220" i="1"/>
  <c r="F202" i="1"/>
  <c r="J220" i="1"/>
  <c r="J202" i="1"/>
  <c r="I220" i="1"/>
  <c r="I202" i="1"/>
  <c r="K220" i="1"/>
  <c r="K202" i="1"/>
  <c r="K215" i="1"/>
  <c r="K197" i="1"/>
  <c r="F219" i="1"/>
  <c r="F201" i="1"/>
  <c r="I219" i="1"/>
  <c r="J201" i="1"/>
  <c r="I201" i="1"/>
  <c r="I199" i="1"/>
  <c r="H217" i="1"/>
  <c r="H199" i="1"/>
  <c r="F217" i="1"/>
  <c r="F199" i="1"/>
  <c r="F215" i="1"/>
  <c r="I215" i="1"/>
  <c r="I197" i="1"/>
  <c r="H197" i="1"/>
  <c r="H215" i="1"/>
  <c r="F197" i="1"/>
  <c r="F214" i="1"/>
  <c r="I214" i="1"/>
  <c r="H214" i="1"/>
  <c r="J196" i="1"/>
  <c r="I196" i="1"/>
  <c r="H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C10" i="10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28" i="1"/>
  <c r="L246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F337" i="1" s="1"/>
  <c r="F351" i="1" s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0" i="1"/>
  <c r="G641" i="1"/>
  <c r="H641" i="1"/>
  <c r="G642" i="1"/>
  <c r="H642" i="1"/>
  <c r="G643" i="1"/>
  <c r="H643" i="1"/>
  <c r="J643" i="1" s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2" i="1"/>
  <c r="J475" i="1"/>
  <c r="H625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H570" i="1"/>
  <c r="L559" i="1"/>
  <c r="J544" i="1"/>
  <c r="H337" i="1"/>
  <c r="H351" i="1" s="1"/>
  <c r="G191" i="1"/>
  <c r="H191" i="1"/>
  <c r="E127" i="2"/>
  <c r="F551" i="1"/>
  <c r="C35" i="10"/>
  <c r="E16" i="13"/>
  <c r="E33" i="13" s="1"/>
  <c r="D35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C22" i="13"/>
  <c r="C137" i="2"/>
  <c r="C16" i="13"/>
  <c r="H33" i="13"/>
  <c r="D31" i="2" l="1"/>
  <c r="E108" i="2"/>
  <c r="E114" i="2" s="1"/>
  <c r="L308" i="1"/>
  <c r="L337" i="1" s="1"/>
  <c r="L351" i="1" s="1"/>
  <c r="G632" i="1" s="1"/>
  <c r="J632" i="1" s="1"/>
  <c r="E144" i="2"/>
  <c r="K551" i="1"/>
  <c r="G256" i="1"/>
  <c r="G270" i="1" s="1"/>
  <c r="C23" i="10"/>
  <c r="J648" i="1"/>
  <c r="J633" i="1"/>
  <c r="J639" i="1"/>
  <c r="G660" i="1"/>
  <c r="I660" i="1" s="1"/>
  <c r="D126" i="2"/>
  <c r="D127" i="2" s="1"/>
  <c r="D144" i="2" s="1"/>
  <c r="L361" i="1"/>
  <c r="C11" i="10"/>
  <c r="D5" i="13"/>
  <c r="C5" i="13" s="1"/>
  <c r="C109" i="2"/>
  <c r="C114" i="2" s="1"/>
  <c r="L210" i="1"/>
  <c r="L256" i="1" s="1"/>
  <c r="L270" i="1" s="1"/>
  <c r="G631" i="1" s="1"/>
  <c r="J631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C144" i="2" l="1"/>
  <c r="C28" i="10"/>
  <c r="D24" i="10" s="1"/>
  <c r="D31" i="13"/>
  <c r="C31" i="13" s="1"/>
  <c r="G659" i="1"/>
  <c r="H645" i="1"/>
  <c r="J645" i="1" s="1"/>
  <c r="G663" i="1"/>
  <c r="G666" i="1" s="1"/>
  <c r="F659" i="1"/>
  <c r="F663" i="1" s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/>
  <c r="C30" i="10"/>
  <c r="D11" i="10"/>
  <c r="D26" i="10"/>
  <c r="D13" i="10"/>
  <c r="D10" i="10"/>
  <c r="D21" i="10" l="1"/>
  <c r="D16" i="10"/>
  <c r="D22" i="10"/>
  <c r="D27" i="10"/>
  <c r="D20" i="10"/>
  <c r="D18" i="10"/>
  <c r="D15" i="10"/>
  <c r="D17" i="10"/>
  <c r="D25" i="10"/>
  <c r="D12" i="10"/>
  <c r="D19" i="10"/>
  <c r="G671" i="1"/>
  <c r="C5" i="10" s="1"/>
  <c r="F671" i="1"/>
  <c r="C4" i="10" s="1"/>
  <c r="F666" i="1"/>
  <c r="I659" i="1"/>
  <c r="I663" i="1" s="1"/>
  <c r="I671" i="1" s="1"/>
  <c r="C7" i="10" s="1"/>
  <c r="H655" i="1"/>
  <c r="C41" i="10"/>
  <c r="D38" i="10" s="1"/>
  <c r="D28" i="10" l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<sst xmlns="http://schemas.openxmlformats.org/spreadsheetml/2006/main" count="3948" uniqueCount="914">
  <si>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</si>
  <si>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</si>
  <si>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</si>
  <si>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</si>
  <si>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</si>
  <si>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</si>
  <si>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</si>
  <si>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</si>
  <si>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</si>
  <si>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</si>
  <si>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</si>
  <si>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</si>
  <si>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</si>
  <si>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</si>
  <si>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</si>
  <si>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</si>
  <si>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</si>
  <si>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</si>
  <si>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</si>
  <si>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</si>
  <si>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</si>
  <si>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</si>
  <si>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</si>
  <si>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</si>
  <si>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</si>
  <si>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</si>
  <si>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</si>
  <si>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</si>
  <si>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</si>
  <si>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</si>
  <si>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</si>
  <si>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</si>
  <si>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</si>
  <si>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</si>
  <si>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</si>
  <si>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</si>
  <si>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</si>
  <si>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</si>
  <si>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</si>
  <si>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</si>
  <si>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</si>
  <si>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</si>
  <si>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</si>
  <si>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</si>
  <si>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</si>
  <si>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</si>
  <si>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</si>
  <si>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</si>
  <si>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</si>
  <si>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</si>
  <si>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</si>
  <si>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</si>
  <si>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</si>
  <si>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</si>
  <si>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</si>
  <si>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</si>
  <si>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</si>
  <si>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</si>
  <si>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</si>
  <si>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</si>
  <si>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</si>
  <si>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</si>
  <si>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</si>
  <si>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</si>
  <si>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</si>
  <si>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</si>
  <si>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</si>
  <si>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</si>
  <si>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</si>
  <si>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</si>
  <si>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</si>
  <si>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</si>
  <si>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</si>
  <si>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</si>
  <si>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</si>
  <si>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</si>
  <si>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</si>
  <si>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</si>
  <si>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</si>
  <si>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</si>
  <si>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</si>
  <si>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</si>
  <si>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</si>
  <si>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</si>
  <si>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</si>
  <si>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</si>
  <si>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</si>
  <si>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</si>
  <si>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</si>
  <si>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</si>
  <si>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</si>
  <si>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</si>
  <si>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</si>
  <si>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</si>
  <si>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</si>
  <si>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</si>
  <si>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</si>
  <si>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</si>
  <si>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</si>
  <si>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</si>
  <si>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</si>
  <si>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</si>
  <si>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</si>
  <si>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</si>
  <si>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</si>
  <si>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</si>
  <si>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</si>
  <si>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</si>
  <si>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</si>
  <si>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</si>
  <si>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</si>
  <si>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</si>
  <si>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</si>
  <si>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</si>
  <si>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</si>
  <si>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</si>
  <si>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</si>
  <si>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</si>
  <si>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</si>
  <si>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</si>
  <si>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</si>
  <si>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</si>
  <si>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</si>
  <si>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</si>
  <si>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</si>
  <si>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</si>
  <si>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</si>
  <si>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</si>
  <si>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</si>
  <si>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</si>
  <si>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</si>
  <si>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</si>
  <si>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</si>
  <si>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</si>
  <si>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</si>
  <si>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</si>
  <si>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</si>
  <si>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</si>
  <si>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</si>
  <si>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</si>
  <si>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</si>
  <si>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</si>
  <si>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</si>
  <si>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</si>
  <si>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</si>
  <si>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</si>
  <si>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</si>
  <si>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</si>
  <si>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</si>
  <si>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</si>
  <si>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</si>
  <si>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</si>
  <si>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</si>
  <si>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</si>
  <si>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</si>
  <si>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</si>
  <si>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</si>
  <si>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</si>
  <si>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</si>
  <si>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</si>
  <si>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</si>
  <si>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</si>
  <si>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</si>
  <si>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</si>
  <si>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</si>
  <si>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</si>
  <si>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</si>
  <si>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</si>
  <si>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</si>
  <si>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</si>
  <si>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</si>
  <si>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</si>
  <si>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</si>
  <si>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</si>
  <si>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</si>
  <si>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</si>
  <si>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</si>
  <si>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</si>
  <si>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</si>
  <si>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</si>
  <si>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</si>
  <si>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</si>
  <si>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</si>
  <si>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</si>
  <si>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</si>
  <si>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</si>
  <si>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</si>
  <si>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</si>
  <si>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</si>
  <si>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</si>
  <si>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</si>
  <si>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</si>
  <si>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</si>
  <si>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</si>
  <si>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</si>
  <si>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</si>
  <si>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</si>
  <si>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</si>
  <si>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</si>
  <si>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</si>
  <si>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</si>
  <si>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</si>
  <si>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</si>
  <si>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</si>
  <si>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</si>
  <si>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</si>
  <si>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</si>
  <si>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</si>
  <si>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</si>
  <si>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</si>
  <si>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</si>
  <si>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</si>
  <si>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</si>
  <si>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</si>
  <si>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</si>
  <si>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</si>
  <si>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</si>
  <si>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</si>
  <si>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</si>
  <si>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</si>
  <si>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</si>
  <si>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</si>
  <si>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</si>
  <si>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</si>
  <si>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</si>
  <si>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</si>
  <si>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</si>
  <si>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</si>
  <si>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</si>
  <si>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</si>
  <si>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</si>
  <si>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</si>
  <si>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</si>
  <si>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</si>
  <si>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</si>
  <si>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</si>
  <si>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</si>
  <si>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</si>
  <si>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</si>
  <si>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</si>
  <si>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</si>
  <si>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</si>
  <si>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</si>
  <si>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</si>
  <si>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</si>
  <si>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</si>
  <si>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</si>
  <si>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</si>
  <si>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</si>
  <si>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</si>
  <si>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</si>
  <si>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</si>
  <si>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</si>
  <si>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</si>
  <si>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</si>
  <si>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</si>
  <si>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</si>
  <si>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</si>
  <si>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</si>
  <si>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</si>
  <si>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</si>
  <si>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</si>
  <si>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</si>
  <si>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</si>
  <si>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</si>
  <si>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</si>
  <si>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</si>
  <si>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</si>
  <si>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</si>
  <si>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</si>
  <si>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</si>
  <si>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</si>
  <si>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</si>
  <si>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</si>
  <si>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</si>
  <si>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</si>
  <si>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</si>
  <si>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</si>
  <si>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</si>
  <si>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</si>
  <si>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</si>
  <si>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</si>
  <si>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</si>
  <si>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</si>
  <si>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</si>
  <si>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</si>
  <si>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</si>
  <si>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</si>
  <si>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</si>
  <si>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</si>
  <si>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</si>
  <si>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</si>
  <si>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</si>
  <si>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</si>
  <si>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</si>
  <si>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</si>
  <si>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</si>
  <si>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</si>
  <si>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</si>
  <si>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</si>
  <si>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</si>
  <si>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</si>
  <si>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</si>
  <si>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</si>
  <si>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</si>
  <si>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</si>
  <si>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</si>
  <si>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</si>
  <si>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</si>
  <si>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</si>
  <si>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</si>
  <si>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</si>
  <si>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</si>
  <si>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</si>
  <si>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</si>
  <si>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</si>
  <si>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</si>
  <si>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</si>
  <si>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</si>
  <si>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</si>
  <si>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</si>
  <si>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</si>
  <si>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</si>
  <si>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</si>
  <si>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</si>
  <si>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</si>
  <si>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</si>
  <si>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</si>
  <si>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</si>
  <si>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</si>
  <si>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</si>
  <si>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</si>
  <si>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</si>
  <si>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</si>
  <si>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</si>
  <si>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</si>
  <si>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</si>
  <si>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</si>
  <si>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</si>
  <si>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</si>
  <si>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</si>
  <si>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</si>
  <si>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</si>
  <si>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</si>
  <si>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</si>
  <si>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</si>
  <si>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</si>
  <si>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</si>
  <si>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</si>
  <si>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</si>
  <si>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</si>
  <si>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</si>
  <si>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</si>
  <si>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</si>
  <si>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</si>
  <si>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</si>
  <si>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</si>
  <si>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</si>
  <si>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</si>
  <si>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</si>
  <si>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</si>
  <si>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</si>
  <si>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</si>
  <si>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</si>
  <si>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</si>
  <si>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</si>
  <si>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</si>
  <si>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</si>
  <si>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</si>
  <si>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</si>
  <si>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</si>
  <si>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</si>
  <si>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</si>
  <si>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</si>
  <si>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</si>
  <si>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</si>
  <si>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</si>
  <si>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</si>
  <si>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</si>
  <si>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</si>
  <si>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</si>
  <si>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</si>
  <si>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</si>
  <si>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</si>
  <si>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</si>
  <si>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</si>
  <si>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</si>
  <si>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</si>
  <si>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</si>
  <si>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</si>
  <si>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</si>
  <si>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</si>
  <si>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</si>
  <si>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</si>
  <si>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</si>
  <si>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</si>
  <si>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</si>
  <si>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</si>
  <si>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</si>
  <si>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</si>
  <si>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</si>
  <si>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</si>
  <si>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</si>
  <si>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</si>
  <si>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</si>
  <si>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</si>
  <si>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</si>
  <si>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</si>
  <si>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</si>
  <si>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</si>
  <si>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</si>
  <si>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</si>
  <si>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</si>
  <si>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</si>
  <si>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</si>
  <si>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</si>
  <si>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</si>
  <si>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</si>
  <si>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</si>
  <si>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</si>
  <si>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</si>
  <si>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</si>
  <si>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</si>
  <si>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</si>
  <si>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</si>
  <si>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</si>
  <si>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</si>
  <si>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</si>
  <si>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</si>
  <si>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</si>
  <si>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</si>
  <si>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</si>
  <si>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</si>
  <si>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</si>
  <si>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</si>
  <si>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</si>
  <si>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</si>
  <si>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</si>
  <si>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</si>
  <si>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</si>
  <si>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</si>
  <si>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</si>
  <si>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</si>
  <si>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</si>
  <si>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</si>
  <si>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</si>
  <si>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</si>
  <si>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</si>
  <si>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</si>
  <si>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</si>
  <si>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</si>
  <si>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</si>
  <si>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</si>
  <si>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</si>
  <si>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</si>
  <si>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</si>
  <si>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</si>
  <si>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</si>
  <si>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</si>
  <si>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</si>
  <si>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</si>
  <si>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</si>
  <si>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</si>
  <si>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</si>
  <si>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</si>
  <si>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</si>
  <si>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</si>
  <si>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</si>
  <si>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</si>
  <si>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</si>
  <si>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</si>
  <si>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</si>
  <si>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</si>
  <si>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</si>
  <si>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</si>
  <si>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</si>
  <si>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</si>
  <si>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</si>
  <si>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</si>
  <si>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</si>
  <si>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</si>
  <si>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</si>
  <si>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</si>
  <si>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</si>
  <si>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</si>
  <si>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</si>
  <si>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</si>
  <si>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</si>
  <si>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</si>
  <si>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</si>
  <si>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</si>
  <si>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</si>
  <si>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</si>
  <si>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</si>
  <si>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</si>
  <si>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</si>
  <si>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</si>
  <si>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</si>
  <si>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</si>
  <si>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</si>
  <si>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</si>
  <si>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</si>
  <si>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</si>
  <si>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</si>
  <si>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</si>
  <si>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</si>
  <si>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</si>
  <si>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</si>
  <si>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</si>
  <si>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</si>
  <si>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</si>
  <si>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</si>
  <si>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</si>
  <si>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</si>
  <si>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</si>
  <si>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</si>
  <si>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</si>
  <si>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</si>
  <si>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</si>
  <si>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</si>
  <si>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</si>
  <si>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</si>
  <si>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</si>
  <si>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</si>
  <si>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</si>
  <si>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</si>
  <si>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</si>
  <si>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</si>
  <si>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</si>
  <si>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</si>
  <si>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</si>
  <si>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</si>
  <si>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</si>
  <si>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</si>
  <si>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</si>
  <si>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</si>
  <si>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</si>
  <si>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</si>
  <si>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</si>
  <si>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</si>
  <si>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</si>
  <si>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</si>
  <si>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</si>
  <si>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</si>
  <si>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</si>
  <si>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</si>
  <si>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</si>
  <si>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</si>
  <si>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</si>
  <si>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</si>
  <si>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</si>
  <si>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</si>
  <si>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</si>
  <si>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</si>
  <si>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</si>
  <si>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</si>
  <si>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</si>
  <si>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</si>
  <si>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</si>
  <si>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</si>
  <si>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</si>
  <si>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</si>
  <si>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</si>
  <si>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</si>
  <si>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</si>
  <si>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</si>
  <si>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</si>
  <si>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</si>
  <si>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</si>
  <si>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</si>
  <si>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</si>
  <si>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</si>
  <si>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</si>
  <si>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</si>
  <si>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</si>
  <si>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</si>
  <si>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</si>
  <si>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</si>
  <si>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</si>
  <si>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</si>
  <si>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</si>
  <si>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</si>
  <si>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</si>
  <si>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</si>
  <si>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</si>
  <si>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</si>
  <si>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</si>
  <si>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</si>
  <si>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</si>
  <si>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</si>
  <si>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</si>
  <si>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</si>
  <si>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</si>
  <si>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</si>
  <si>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</si>
  <si>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</si>
  <si>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</si>
  <si>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</si>
  <si>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</si>
  <si>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</si>
  <si>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</si>
  <si>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</si>
  <si>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</si>
  <si>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</si>
  <si>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</si>
  <si>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</si>
  <si>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</si>
  <si>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</si>
  <si>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</si>
  <si>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</si>
  <si>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</si>
  <si>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</si>
  <si>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</si>
  <si>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</si>
  <si>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</si>
  <si>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</si>
  <si>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</si>
  <si>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</si>
  <si>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</si>
  <si>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</si>
  <si>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</si>
  <si>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</si>
  <si>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</si>
  <si>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</si>
  <si>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</si>
  <si>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</si>
  <si>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</si>
  <si>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</si>
  <si>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</si>
  <si>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</si>
  <si>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</si>
  <si>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</si>
  <si>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</si>
  <si>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</si>
  <si>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</si>
  <si>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</si>
  <si>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</si>
  <si>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</si>
  <si>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</si>
  <si>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</si>
  <si>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</si>
  <si>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</si>
  <si>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</si>
  <si>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</si>
  <si>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</si>
  <si>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</si>
  <si>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</si>
  <si>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</si>
  <si>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</si>
  <si>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</si>
  <si>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</si>
  <si>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</si>
  <si>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</si>
  <si>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</si>
  <si>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</si>
  <si>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</si>
  <si>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</si>
  <si>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</si>
  <si>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</si>
  <si>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</si>
  <si>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</si>
  <si>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</si>
  <si>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</si>
  <si>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</si>
  <si>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</si>
  <si>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</si>
  <si>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</si>
  <si>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</si>
  <si>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</si>
  <si>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</si>
  <si>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</si>
  <si>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</si>
  <si>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</si>
  <si>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</si>
  <si>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</si>
  <si>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</si>
  <si>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</si>
  <si>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</si>
  <si>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</si>
  <si>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</si>
  <si>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</si>
  <si>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</si>
  <si>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</si>
  <si>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</si>
  <si>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</si>
  <si>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</si>
  <si>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</si>
  <si>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</si>
  <si>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</si>
  <si>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</si>
  <si>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</si>
  <si>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</si>
  <si>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</si>
  <si>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</si>
  <si>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</si>
  <si>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</si>
  <si>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</si>
  <si>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</si>
  <si>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</si>
  <si>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</si>
  <si>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</si>
  <si>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</si>
  <si>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</si>
  <si>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</si>
  <si>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</si>
  <si>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</si>
  <si>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</si>
  <si>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</si>
  <si>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</si>
  <si>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</si>
  <si>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</si>
  <si>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</si>
  <si>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</si>
  <si>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</si>
  <si>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</si>
  <si>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</si>
  <si>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</si>
  <si>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</si>
  <si>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</si>
  <si>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</si>
  <si>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</si>
  <si>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</si>
  <si>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</si>
  <si>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</si>
  <si>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</si>
  <si>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</si>
  <si>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</si>
  <si>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</si>
  <si>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</si>
  <si>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</si>
  <si>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</si>
  <si>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</si>
  <si>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</si>
  <si>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</si>
  <si>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</si>
  <si>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</si>
  <si>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</si>
  <si>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</si>
  <si>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</si>
  <si>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</si>
  <si>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</si>
  <si>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</si>
  <si>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</si>
  <si>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</si>
  <si>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</si>
  <si>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</si>
  <si>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</si>
  <si>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</si>
  <si>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</si>
  <si>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</si>
  <si>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</si>
  <si>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</si>
  <si>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</si>
  <si>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</si>
  <si>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</si>
  <si>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</si>
  <si>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</si>
  <si>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</si>
  <si>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</si>
  <si>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</si>
  <si>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</si>
  <si>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</si>
  <si>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</si>
  <si>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</si>
  <si>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</si>
  <si>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</si>
  <si>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</si>
  <si>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</si>
  <si>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</si>
  <si>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</si>
  <si>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</si>
  <si>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</si>
  <si>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</si>
  <si>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</si>
  <si>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</si>
  <si>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</si>
  <si>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</si>
  <si>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</si>
  <si>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</si>
  <si>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</si>
  <si>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</si>
  <si>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</si>
  <si>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</si>
  <si>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</si>
  <si>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</si>
  <si>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</si>
  <si>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</si>
  <si>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</si>
  <si>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</si>
  <si>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</si>
  <si>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</si>
  <si>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</si>
  <si>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</si>
  <si>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</si>
  <si>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</si>
  <si>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</si>
  <si>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</si>
  <si>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</si>
  <si>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</si>
  <si>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</si>
  <si>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</si>
  <si>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</si>
  <si>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</si>
  <si>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</si>
  <si>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</si>
  <si>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</si>
  <si>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</si>
  <si>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</si>
  <si>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</si>
  <si>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</si>
  <si>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</si>
  <si>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</si>
  <si>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</si>
  <si>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</si>
  <si>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</si>
  <si>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</si>
  <si>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</si>
  <si>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</si>
  <si>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</si>
  <si>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</si>
  <si>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</si>
  <si>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</si>
  <si>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</si>
  <si>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</si>
  <si>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</si>
  <si>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</si>
  <si>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</si>
  <si>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</si>
  <si>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</si>
  <si>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</si>
  <si>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</si>
  <si>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</si>
  <si>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</si>
  <si>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</si>
  <si>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</si>
  <si>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</si>
  <si>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</si>
  <si>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</si>
  <si>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</si>
  <si>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</si>
  <si>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</si>
  <si>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</si>
  <si>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</si>
  <si>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</si>
  <si>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</si>
  <si>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</si>
  <si>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</si>
  <si>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</si>
  <si>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</si>
  <si>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</si>
  <si>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</si>
  <si>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</si>
  <si>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</si>
  <si>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</si>
  <si>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</si>
  <si>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</si>
  <si>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</si>
  <si>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</si>
  <si>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</si>
  <si>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</si>
  <si>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</si>
  <si>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</si>
  <si>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</si>
  <si>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</si>
  <si>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</si>
  <si>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</si>
  <si>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</si>
  <si>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</si>
  <si>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</si>
  <si>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</si>
  <si>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</si>
  <si>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</si>
  <si>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</si>
  <si>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</si>
  <si>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</si>
  <si>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</si>
  <si>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</si>
  <si>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</si>
  <si>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</si>
  <si>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</si>
  <si>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</si>
  <si>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</si>
  <si>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</si>
  <si>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</si>
  <si>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</si>
  <si>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</si>
  <si>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</si>
  <si>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</si>
  <si>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</si>
  <si>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</si>
  <si>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</si>
  <si>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</si>
  <si>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</si>
  <si>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</si>
  <si>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</si>
  <si>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</si>
  <si>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</si>
  <si>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</si>
  <si>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</si>
  <si>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</si>
  <si>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</si>
  <si>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</si>
  <si>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</si>
  <si>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</si>
  <si>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</si>
  <si>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</si>
  <si>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</si>
  <si>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</si>
  <si>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</si>
  <si>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Hampton School District</t>
  </si>
  <si>
    <t>07/96</t>
  </si>
  <si>
    <t>08/16</t>
  </si>
  <si>
    <t>07/98</t>
  </si>
  <si>
    <t>08/18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</si>
</sst>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3" fillId="0" borderId="0" xfId="0" applyNumberFormat="1" applyFont="1" applyBorder="1" applyAlignment="1" applyProtection="1">
      <alignment horizontal="right" vertical="justify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4" sqref="F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225</v>
      </c>
      <c r="C2" s="21">
        <v>225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61696.49+68179.21+100</f>
        <v>129975.70000000001</v>
      </c>
      <c r="G9" s="18">
        <v>300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211777.25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15095.99+82777.58</f>
        <v>97873.57</v>
      </c>
      <c r="G12" s="18">
        <v>343.32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56406.41</v>
      </c>
      <c r="G13" s="18">
        <v>15095.99</v>
      </c>
      <c r="H13" s="18">
        <v>82777.58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2631.3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14290+4116</f>
        <v>18406</v>
      </c>
      <c r="G17" s="18"/>
      <c r="H17" s="18"/>
      <c r="I17" s="18">
        <f>146964.96+3900</f>
        <v>150864.95999999999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305292.98000000004</v>
      </c>
      <c r="G19" s="41">
        <f>SUM(G9:G18)</f>
        <v>15739.31</v>
      </c>
      <c r="H19" s="41">
        <f>SUM(H9:H18)</f>
        <v>82777.58</v>
      </c>
      <c r="I19" s="41">
        <f>SUM(I9:I18)</f>
        <v>150864.95999999999</v>
      </c>
      <c r="J19" s="41">
        <f>SUM(J9:J18)</f>
        <v>211777.25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15095.99</v>
      </c>
      <c r="H22" s="18">
        <v>82777.58</v>
      </c>
      <c r="I22" s="18">
        <v>150864.95999999999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58624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59801.71+8377.5</f>
        <v>68179.209999999992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534.74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126803.20999999999</v>
      </c>
      <c r="G32" s="41">
        <f>SUM(G22:G31)</f>
        <v>15630.73</v>
      </c>
      <c r="H32" s="41">
        <f>SUM(H22:H31)</f>
        <v>82777.58</v>
      </c>
      <c r="I32" s="41">
        <f>SUM(I22:I31)</f>
        <v>150864.95999999999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42440.72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211777.25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108.58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136049.04999999999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178489.77</v>
      </c>
      <c r="G50" s="41">
        <f>SUM(G35:G49)</f>
        <v>108.58</v>
      </c>
      <c r="H50" s="41">
        <f>SUM(H35:H49)</f>
        <v>0</v>
      </c>
      <c r="I50" s="41">
        <f>SUM(I35:I49)</f>
        <v>0</v>
      </c>
      <c r="J50" s="41">
        <f>SUM(J35:J49)</f>
        <v>211777.25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305292.98</v>
      </c>
      <c r="G51" s="41">
        <f>G50+G32</f>
        <v>15739.31</v>
      </c>
      <c r="H51" s="41">
        <f>H50+H32</f>
        <v>82777.58</v>
      </c>
      <c r="I51" s="41">
        <f>I50+I32</f>
        <v>150864.95999999999</v>
      </c>
      <c r="J51" s="41">
        <f>J50+J32</f>
        <v>211777.25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17111509-83181-4244056</f>
        <v>12784272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12784272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3620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3620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f>3396.91-68.63</f>
        <v>3328.2799999999997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329146.17-12500-1975.9</f>
        <v>314670.26999999996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15563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14659.55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41525.59+108306.95</f>
        <v>149832.53999999998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180055.08999999997</v>
      </c>
      <c r="G110" s="41">
        <f>SUM(G95:G109)</f>
        <v>314670.26999999996</v>
      </c>
      <c r="H110" s="41">
        <f>SUM(H95:H109)</f>
        <v>0</v>
      </c>
      <c r="I110" s="41">
        <f>SUM(I95:I109)</f>
        <v>0</v>
      </c>
      <c r="J110" s="41">
        <f>SUM(J95:J109)</f>
        <v>3328.2799999999997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12967947.09</v>
      </c>
      <c r="G111" s="41">
        <f>G59+G110</f>
        <v>314670.26999999996</v>
      </c>
      <c r="H111" s="41">
        <f>H59+H78+H93+H110</f>
        <v>0</v>
      </c>
      <c r="I111" s="41">
        <f>I59+I110</f>
        <v>0</v>
      </c>
      <c r="J111" s="41">
        <f>J59+J110</f>
        <v>3328.2799999999997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83181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4244056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4327237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109737.7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60608.78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>
        <v>15000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6059.49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170346.47999999998</v>
      </c>
      <c r="G135" s="41">
        <f>SUM(G122:G134)</f>
        <v>6059.49</v>
      </c>
      <c r="H135" s="41">
        <f>SUM(H122:H134)</f>
        <v>15000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4497583.4800000004</v>
      </c>
      <c r="G139" s="41">
        <f>G120+SUM(G135:G136)</f>
        <v>6059.49</v>
      </c>
      <c r="H139" s="41">
        <f>H120+SUM(H135:H138)</f>
        <v>15000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2700+119693.5</f>
        <v>122393.5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35528.01+15979.82+86959.33</f>
        <v>138467.16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179759.96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292955.26+9968.76</f>
        <v>302924.02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93466.76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93466.76</v>
      </c>
      <c r="G161" s="41">
        <f>SUM(G149:G160)</f>
        <v>179759.96</v>
      </c>
      <c r="H161" s="41">
        <f>SUM(H149:H160)</f>
        <v>563784.68000000005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93466.76</v>
      </c>
      <c r="G168" s="41">
        <f>G146+G161+SUM(G162:G167)</f>
        <v>179759.96</v>
      </c>
      <c r="H168" s="41">
        <f>H146+H161+SUM(H162:H167)</f>
        <v>563784.68000000005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14000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14000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14000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17558997.330000002</v>
      </c>
      <c r="G192" s="47">
        <f>G111+G139+G168+G191</f>
        <v>514489.72</v>
      </c>
      <c r="H192" s="47">
        <f>H111+H139+H168+H191</f>
        <v>578784.68000000005</v>
      </c>
      <c r="I192" s="47">
        <f>I111+I139+I168+I191</f>
        <v>0</v>
      </c>
      <c r="J192" s="47">
        <f>J111+J139+J191</f>
        <v>78328.28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1924498.03+1637745.4+151159.75+58039.83+55802.23</f>
        <v>3827245.2399999998</v>
      </c>
      <c r="G196" s="18">
        <v>1520092.42</v>
      </c>
      <c r="H196" s="18">
        <f>100+16447.64+459+13409.08</f>
        <v>30415.72</v>
      </c>
      <c r="I196" s="18">
        <f>23604.37+18268.48+2130.32+21612.91+22297.59+949.75</f>
        <v>88863.42</v>
      </c>
      <c r="J196" s="18">
        <f>1197.31+1924+774.19</f>
        <v>3895.5</v>
      </c>
      <c r="K196" s="18"/>
      <c r="L196" s="19">
        <f>SUM(F196:K196)</f>
        <v>5470512.2999999998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286370.5+295074.5+68279.84+107894.53+12022.5+ROUNDDOWN((80158+66663)/3*2,2)</f>
        <v>867522.53</v>
      </c>
      <c r="G197" s="18">
        <v>344573.88</v>
      </c>
      <c r="H197" s="18">
        <f>ROUNDDOWN((914.13+130405.81+6785+1525+900)/3*2,2)+3993+6000</f>
        <v>103679.62</v>
      </c>
      <c r="I197" s="18">
        <f>ROUNDDOWN(3428.32/3*2,2)</f>
        <v>2285.54</v>
      </c>
      <c r="J197" s="18"/>
      <c r="K197" s="18">
        <f>ROUNDDOWN(250/3*2,2)</f>
        <v>166.66</v>
      </c>
      <c r="L197" s="19">
        <f>SUM(F197:K197)</f>
        <v>1318228.2300000002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1689+1689+5001+5475</f>
        <v>13854</v>
      </c>
      <c r="G199" s="18">
        <v>2625.33</v>
      </c>
      <c r="H199" s="18">
        <f>2666.02+2995.22</f>
        <v>5661.24</v>
      </c>
      <c r="I199" s="18">
        <f>1464.07+1161.78</f>
        <v>2625.85</v>
      </c>
      <c r="J199" s="18"/>
      <c r="K199" s="18"/>
      <c r="L199" s="19">
        <f>SUM(F199:K199)</f>
        <v>24766.42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78497+76198+ROUNDDOWN(18040/3*2,2)+73251+54791.4+16017.52+115699.4+68709+ROUNDDOWN((138764+129713)/3*2,2)</f>
        <v>674174.64</v>
      </c>
      <c r="G201" s="18">
        <v>267777.45</v>
      </c>
      <c r="H201" s="18"/>
      <c r="I201" s="18">
        <f>583.49+592.59+1307.84+1195.49</f>
        <v>3679.41</v>
      </c>
      <c r="J201" s="18">
        <f>189.17+129.92</f>
        <v>319.08999999999997</v>
      </c>
      <c r="K201" s="18"/>
      <c r="L201" s="19">
        <f t="shared" ref="L201:L207" si="0">SUM(F201:K201)</f>
        <v>945950.59000000008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4000+71068+18838+ROUNDDOWN((137114+35100+3651.5)/3*2,2)+29247.17+22525.86+ROUNDDOWN(49741/3*2,2)</f>
        <v>296083.34999999998</v>
      </c>
      <c r="G202" s="18">
        <v>117602.24000000001</v>
      </c>
      <c r="H202" s="18">
        <f>26244.74+39536.39+393.85+125.5+ROUNDDOWN((4704.31+2250+6971.56+23850.12)/3*2,2)</f>
        <v>91484.470000000016</v>
      </c>
      <c r="I202" s="18">
        <f>ROUNDDOWN((8306.08+12338.46+11771.88)/3*2,2)+495.81+700+5959.97+515+1299.81+5890.72+ROUNDDOWN((14292.47+6623.98+33900.21-14290+7605.27)/3*2,2)</f>
        <v>68560.2</v>
      </c>
      <c r="J202" s="18">
        <f>ROUNDDOWN((30167.98+197797.88+3127)/3*2,2)</f>
        <v>154061.9</v>
      </c>
      <c r="K202" s="18">
        <f>ROUNDDOWN(885/3*2,2)</f>
        <v>590</v>
      </c>
      <c r="L202" s="19">
        <f t="shared" si="0"/>
        <v>728382.16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ROUNDDOWN((19850+278162)/3*2,2)</f>
        <v>198674.66</v>
      </c>
      <c r="G203" s="18">
        <v>78912.19</v>
      </c>
      <c r="H203" s="18">
        <f>ROUNDDOWN((5558.5+15000+3242.09+3106.97+6260.44+25+8000+843.78+2288.9+4713.49+2295.61)/3*2,2)</f>
        <v>34223.18</v>
      </c>
      <c r="I203" s="18">
        <f>ROUNDDOWN((1610.37+6002.73+289.96+2818.74+14063.48+16720.3)/3*2,2)</f>
        <v>27670.38</v>
      </c>
      <c r="J203" s="18">
        <f>ROUNDDOWN(420.63/3*2,2)</f>
        <v>280.42</v>
      </c>
      <c r="K203" s="18">
        <f>ROUNDDOWN((5897.91+225.24+2916.5+3047.49)/3*2,2)</f>
        <v>8058.09</v>
      </c>
      <c r="L203" s="19">
        <f t="shared" si="0"/>
        <v>347818.92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90335+162705.23+64581+60843.2</f>
        <v>378464.43</v>
      </c>
      <c r="G204" s="18">
        <v>150323.43</v>
      </c>
      <c r="H204" s="18">
        <f>207.66+5756.05+1034.69+1449.01+7647.59+1000</f>
        <v>17095</v>
      </c>
      <c r="I204" s="18">
        <f>4800.37+4959.35</f>
        <v>9759.7200000000012</v>
      </c>
      <c r="J204" s="18"/>
      <c r="K204" s="18">
        <f>720+1324</f>
        <v>2044</v>
      </c>
      <c r="L204" s="19">
        <f t="shared" si="0"/>
        <v>557686.57999999996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153956.14+191256.4</f>
        <v>345212.54000000004</v>
      </c>
      <c r="G206" s="18">
        <v>137116.01</v>
      </c>
      <c r="H206" s="18">
        <f>6471+5571-3900+43498.67+24475+14078+6912.36+374+3715.95+2600+66528.01+19750+14349+21876.38+18199.19+ROUNDDOWN(975.01/3*2,2)</f>
        <v>245148.56</v>
      </c>
      <c r="I206" s="18">
        <f>16395.01+38683.91+28248.41+22470.55+57681.74+1904+27500.64</f>
        <v>192884.26</v>
      </c>
      <c r="J206" s="18">
        <f>2647+435+2837.64+2406.13</f>
        <v>8325.77</v>
      </c>
      <c r="K206" s="18">
        <f>313.92+290</f>
        <v>603.92000000000007</v>
      </c>
      <c r="L206" s="19">
        <f t="shared" si="0"/>
        <v>929291.06000000017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188905.95+190905.92+2700+4830+1971.9+2000+11478.07+22031.18</f>
        <v>424823.02</v>
      </c>
      <c r="I207" s="18"/>
      <c r="J207" s="18"/>
      <c r="K207" s="18"/>
      <c r="L207" s="19">
        <f t="shared" si="0"/>
        <v>424823.02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6601231.3899999987</v>
      </c>
      <c r="G210" s="41">
        <f t="shared" si="1"/>
        <v>2619022.9500000002</v>
      </c>
      <c r="H210" s="41">
        <f t="shared" si="1"/>
        <v>952530.81</v>
      </c>
      <c r="I210" s="41">
        <f t="shared" si="1"/>
        <v>396328.78</v>
      </c>
      <c r="J210" s="41">
        <f t="shared" si="1"/>
        <v>166882.68</v>
      </c>
      <c r="K210" s="41">
        <f t="shared" si="1"/>
        <v>11462.67</v>
      </c>
      <c r="L210" s="41">
        <f t="shared" si="1"/>
        <v>10747459.279999999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2132970.98+656.25+65045.51</f>
        <v>2198672.7399999998</v>
      </c>
      <c r="G214" s="18">
        <v>873297.44</v>
      </c>
      <c r="H214" s="18">
        <f>361.62+13683.03</f>
        <v>14044.650000000001</v>
      </c>
      <c r="I214" s="18">
        <f>31353.44+20289.61+2000</f>
        <v>53643.05</v>
      </c>
      <c r="J214" s="18">
        <v>2597.4</v>
      </c>
      <c r="K214" s="18"/>
      <c r="L214" s="19">
        <f>SUM(F214:K214)</f>
        <v>3142255.2799999993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334312.58+132435.38+ROUNDUP((80158+66663)/3,2)</f>
        <v>515688.30000000005</v>
      </c>
      <c r="G215" s="18">
        <v>204827.79</v>
      </c>
      <c r="H215" s="18">
        <f>ROUNDUP((914.13+130405.81+6785+1525+900)/3,2)+68834.63</f>
        <v>115677.95000000001</v>
      </c>
      <c r="I215" s="18">
        <f>ROUNDUP(3428.32/3,2)</f>
        <v>1142.78</v>
      </c>
      <c r="J215" s="18"/>
      <c r="K215" s="18">
        <f>ROUNDUP(250/3,2)</f>
        <v>83.34</v>
      </c>
      <c r="L215" s="19">
        <f>SUM(F215:K215)</f>
        <v>837420.16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41439+13537.5</f>
        <v>54976.5</v>
      </c>
      <c r="G217" s="18">
        <v>10418.049999999999</v>
      </c>
      <c r="H217" s="18">
        <f>3700+23550</f>
        <v>27250</v>
      </c>
      <c r="I217" s="18">
        <v>12445.21</v>
      </c>
      <c r="J217" s="18"/>
      <c r="K217" s="18"/>
      <c r="L217" s="19">
        <f>SUM(F217:K217)</f>
        <v>105089.76000000001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122169+ROUNDUP(18040/3,2)+57100+12992.6+19870+ROUNDUP((138764+129713)/3,2)</f>
        <v>307637.28000000003</v>
      </c>
      <c r="G219" s="18">
        <v>122191.38</v>
      </c>
      <c r="H219" s="18"/>
      <c r="I219" s="18">
        <f>259.92+125+1127.9</f>
        <v>1512.8200000000002</v>
      </c>
      <c r="J219" s="18"/>
      <c r="K219" s="18"/>
      <c r="L219" s="19">
        <f t="shared" ref="L219:L225" si="2">SUM(F219:K219)</f>
        <v>431341.48000000004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49870.53+ROUNDUP((137114+35100+3651.5)/3,2)+14626.35+ROUNDUP(49741/3,2)</f>
        <v>139699.06</v>
      </c>
      <c r="G220" s="18">
        <v>55487.49</v>
      </c>
      <c r="H220" s="18">
        <f>23761.61+430+68.85+ROUNDUP((4704.31+2250+6971.56+23850.12)/3,2)</f>
        <v>36852.46</v>
      </c>
      <c r="I220" s="18">
        <f>ROUNDUP((8306.08+12338.46+11771.88)/3,2)+571.87+1241.23+5854.02+ROUNDUP((14292.47+6623.98+33900.21-14290+7605.27)/3,2)</f>
        <v>34516.58</v>
      </c>
      <c r="J220" s="18">
        <f>ROUNDUP((30167.98+197797.88+3127)/3,2)</f>
        <v>77030.959999999992</v>
      </c>
      <c r="K220" s="18">
        <f>ROUNDUP(885/3,2)</f>
        <v>295</v>
      </c>
      <c r="L220" s="19">
        <f t="shared" si="2"/>
        <v>343881.54999999993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ROUNDUP((19850+278162)/3,2)</f>
        <v>99337.34</v>
      </c>
      <c r="G221" s="18">
        <v>39456.1</v>
      </c>
      <c r="H221" s="18">
        <f>ROUNDUP((5558.5+15000+3242.09+3106.97+6260.44+25+8000+843.78+2288.9+4713.49+2295.61)/3,2)</f>
        <v>17111.599999999999</v>
      </c>
      <c r="I221" s="18">
        <f>ROUNDUP((1610.37+6002.73+289.96+2818.74+14063.48+16720.3)/3,2)</f>
        <v>13835.2</v>
      </c>
      <c r="J221" s="18">
        <f>ROUNDUP(420.63/3,2)</f>
        <v>140.21</v>
      </c>
      <c r="K221" s="18">
        <f>ROUNDUP((5897.91+225.24+2916.5+3047.49)/3,2)</f>
        <v>4029.05</v>
      </c>
      <c r="L221" s="19">
        <f t="shared" si="2"/>
        <v>173909.5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191311.64+65450</f>
        <v>256761.64</v>
      </c>
      <c r="G222" s="18">
        <v>101983.93</v>
      </c>
      <c r="H222" s="18">
        <f>348.22+10822.17+1400.76</f>
        <v>12571.15</v>
      </c>
      <c r="I222" s="18">
        <v>7417.66</v>
      </c>
      <c r="J222" s="18"/>
      <c r="K222" s="18">
        <v>1870</v>
      </c>
      <c r="L222" s="19">
        <f t="shared" si="2"/>
        <v>380604.38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192349.91</v>
      </c>
      <c r="G224" s="18">
        <v>76400.02</v>
      </c>
      <c r="H224" s="18">
        <f>3484.24+122+1701.55+63831.85+8034+13779+28533.36+ROUNDUP(975.01/3,2)</f>
        <v>119811.01</v>
      </c>
      <c r="I224" s="18">
        <f>19519.23+46076.43+44848.88</f>
        <v>110444.54000000001</v>
      </c>
      <c r="J224" s="18">
        <f>4049.77+2334</f>
        <v>6383.77</v>
      </c>
      <c r="K224" s="18">
        <v>427.52</v>
      </c>
      <c r="L224" s="19">
        <f t="shared" si="2"/>
        <v>505816.77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188905.91+103077.4+9241.8+1982.55+24193.15</f>
        <v>327400.81</v>
      </c>
      <c r="I225" s="18"/>
      <c r="J225" s="18"/>
      <c r="K225" s="18"/>
      <c r="L225" s="19">
        <f t="shared" si="2"/>
        <v>327400.81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3765122.7700000005</v>
      </c>
      <c r="G228" s="41">
        <f>SUM(G214:G227)</f>
        <v>1484062.2000000002</v>
      </c>
      <c r="H228" s="41">
        <f>SUM(H214:H227)</f>
        <v>670719.63</v>
      </c>
      <c r="I228" s="41">
        <f>SUM(I214:I227)</f>
        <v>234957.84000000003</v>
      </c>
      <c r="J228" s="41">
        <f>SUM(J214:J227)</f>
        <v>86152.34</v>
      </c>
      <c r="K228" s="41">
        <f t="shared" si="3"/>
        <v>6704.91</v>
      </c>
      <c r="L228" s="41">
        <f t="shared" si="3"/>
        <v>6247719.6899999985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12425</v>
      </c>
      <c r="G249" s="18">
        <v>950</v>
      </c>
      <c r="H249" s="18"/>
      <c r="I249" s="18">
        <f>6952.84+13222.16</f>
        <v>20175</v>
      </c>
      <c r="J249" s="18"/>
      <c r="K249" s="18">
        <v>3528.06</v>
      </c>
      <c r="L249" s="19">
        <f t="shared" ref="L249:L254" si="6">SUM(F249:K249)</f>
        <v>37078.06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>
        <f>200+1848</f>
        <v>2048</v>
      </c>
      <c r="J252" s="18">
        <f>15363-1848</f>
        <v>13515</v>
      </c>
      <c r="K252" s="18"/>
      <c r="L252" s="19">
        <f t="shared" si="6"/>
        <v>15563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404439.68-(35000+21153.1+869+4370+610.5)</f>
        <v>342437.08</v>
      </c>
      <c r="I254" s="18"/>
      <c r="J254" s="18">
        <f>35000+21153.1+869+4370+610.5</f>
        <v>62002.6</v>
      </c>
      <c r="K254" s="18"/>
      <c r="L254" s="19">
        <f t="shared" si="6"/>
        <v>404439.68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12425</v>
      </c>
      <c r="G255" s="41">
        <f t="shared" si="7"/>
        <v>950</v>
      </c>
      <c r="H255" s="41">
        <f t="shared" si="7"/>
        <v>342437.08</v>
      </c>
      <c r="I255" s="41">
        <f t="shared" si="7"/>
        <v>22223</v>
      </c>
      <c r="J255" s="41">
        <f t="shared" si="7"/>
        <v>75517.600000000006</v>
      </c>
      <c r="K255" s="41">
        <f t="shared" si="7"/>
        <v>3528.06</v>
      </c>
      <c r="L255" s="41">
        <f>SUM(F255:K255)</f>
        <v>457080.74000000005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10378779.16</v>
      </c>
      <c r="G256" s="41">
        <f t="shared" si="8"/>
        <v>4104035.1500000004</v>
      </c>
      <c r="H256" s="41">
        <f t="shared" si="8"/>
        <v>1965687.52</v>
      </c>
      <c r="I256" s="41">
        <f t="shared" si="8"/>
        <v>653509.62000000011</v>
      </c>
      <c r="J256" s="41">
        <f t="shared" si="8"/>
        <v>328552.62</v>
      </c>
      <c r="K256" s="41">
        <f t="shared" si="8"/>
        <v>21695.640000000003</v>
      </c>
      <c r="L256" s="41">
        <f t="shared" si="8"/>
        <v>17452259.709999997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100000+255000</f>
        <v>355000</v>
      </c>
      <c r="L259" s="19">
        <f>SUM(F259:K259)</f>
        <v>355000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38500+75756.25</f>
        <v>114256.25</v>
      </c>
      <c r="L260" s="19">
        <f>SUM(F260:K260)</f>
        <v>114256.25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14000</v>
      </c>
      <c r="L262" s="19">
        <f>SUM(F262:K262)</f>
        <v>14000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558256.25</v>
      </c>
      <c r="L269" s="41">
        <f t="shared" si="9"/>
        <v>558256.25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10378779.16</v>
      </c>
      <c r="G270" s="42">
        <f t="shared" si="11"/>
        <v>4104035.1500000004</v>
      </c>
      <c r="H270" s="42">
        <f t="shared" si="11"/>
        <v>1965687.52</v>
      </c>
      <c r="I270" s="42">
        <f t="shared" si="11"/>
        <v>653509.62000000011</v>
      </c>
      <c r="J270" s="42">
        <f t="shared" si="11"/>
        <v>328552.62</v>
      </c>
      <c r="K270" s="42">
        <f t="shared" si="11"/>
        <v>579951.89</v>
      </c>
      <c r="L270" s="42">
        <f t="shared" si="11"/>
        <v>18010515.959999997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2000+ROUNDDOWN((19062.5+2935)/3*2,2)+53129.28+34221.04+3500+1760+48390</f>
        <v>157665.32</v>
      </c>
      <c r="G275" s="18">
        <f>ROUNDDOWN((288.39+426.85+224.56+314.71)/3*2,2)+6848.92+2202.48+395.88+3362+4966</f>
        <v>18611.62</v>
      </c>
      <c r="H275" s="18">
        <f>700+ROUNDDOWN((7934.95+4775.74+22989.7+1179)/3*2,2)+13309.58+600+356.68</f>
        <v>39552.519999999997</v>
      </c>
      <c r="I275" s="18">
        <f>ROUNDDOWN((1346.66+1692.92)/3*2,2)+4128+1790</f>
        <v>7944.38</v>
      </c>
      <c r="J275" s="18"/>
      <c r="K275" s="18">
        <f>50</f>
        <v>50</v>
      </c>
      <c r="L275" s="19">
        <f>SUM(F275:K275)</f>
        <v>223823.84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ROUNDDOWN((122759.46+300)/3*2,2)+6771</f>
        <v>88810.64</v>
      </c>
      <c r="G276" s="18">
        <f>ROUNDDOWN((9415.66)/3*2,2)+517.88</f>
        <v>6794.9800000000005</v>
      </c>
      <c r="H276" s="18">
        <f>ROUNDDOWN((106799+593.91+460)/3*2,2)+1113</f>
        <v>73014.94</v>
      </c>
      <c r="I276" s="18">
        <f>ROUNDDOWN((46845.92+250+974.96+1137)/3*2,2)+1566.88</f>
        <v>34372.129999999997</v>
      </c>
      <c r="J276" s="18">
        <f>ROUNDDOWN((2223.35+1196)/3*2,2)</f>
        <v>2279.56</v>
      </c>
      <c r="K276" s="18"/>
      <c r="L276" s="19">
        <f>SUM(F276:K276)</f>
        <v>205272.25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246475.96000000002</v>
      </c>
      <c r="G289" s="42">
        <f t="shared" si="13"/>
        <v>25406.6</v>
      </c>
      <c r="H289" s="42">
        <f t="shared" si="13"/>
        <v>112567.45999999999</v>
      </c>
      <c r="I289" s="42">
        <f t="shared" si="13"/>
        <v>42316.509999999995</v>
      </c>
      <c r="J289" s="42">
        <f t="shared" si="13"/>
        <v>2279.56</v>
      </c>
      <c r="K289" s="42">
        <f t="shared" si="13"/>
        <v>50</v>
      </c>
      <c r="L289" s="41">
        <f t="shared" si="13"/>
        <v>429096.08999999997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ROUNDUP((19062.5+2935)/3,2)+2762.5+880</f>
        <v>10975</v>
      </c>
      <c r="G294" s="18">
        <f>ROUNDUP((288.39+426.85+224.56+314.71)/3,2)</f>
        <v>418.17</v>
      </c>
      <c r="H294" s="18">
        <f>ROUNDUP((7934.95+4775.74+22989.7+1179)/3,2)+6747.8+258</f>
        <v>19298.93</v>
      </c>
      <c r="I294" s="18">
        <f>ROUNDUP((1346.66+1692.92)/3,2)+3400.1+500+2845+500</f>
        <v>8258.2999999999993</v>
      </c>
      <c r="J294" s="18">
        <f>11655</f>
        <v>11655</v>
      </c>
      <c r="K294" s="18">
        <f>1431.42</f>
        <v>1431.42</v>
      </c>
      <c r="L294" s="19">
        <f>SUM(F294:K294)</f>
        <v>52036.819999999992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ROUNDUP((122759.46+300)/3,2)</f>
        <v>41019.82</v>
      </c>
      <c r="G295" s="18">
        <f>ROUNDUP((9415.66)/3,2)</f>
        <v>3138.5600000000004</v>
      </c>
      <c r="H295" s="18">
        <f>ROUNDUP((106799+593.91+460)/3,2)</f>
        <v>35950.97</v>
      </c>
      <c r="I295" s="18">
        <f>ROUNDUP((46845.92+250+974.96+1137)/3,2)</f>
        <v>16402.629999999997</v>
      </c>
      <c r="J295" s="18">
        <f>ROUNDUP((2223.35+1196)/3,2)</f>
        <v>1139.79</v>
      </c>
      <c r="K295" s="18"/>
      <c r="L295" s="19">
        <f>SUM(F295:K295)</f>
        <v>97651.77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51994.82</v>
      </c>
      <c r="G308" s="42">
        <f t="shared" si="15"/>
        <v>3556.7300000000005</v>
      </c>
      <c r="H308" s="42">
        <f t="shared" si="15"/>
        <v>55249.9</v>
      </c>
      <c r="I308" s="42">
        <f t="shared" si="15"/>
        <v>24660.929999999997</v>
      </c>
      <c r="J308" s="42">
        <f t="shared" si="15"/>
        <v>12794.79</v>
      </c>
      <c r="K308" s="42">
        <f t="shared" si="15"/>
        <v>1431.42</v>
      </c>
      <c r="L308" s="41">
        <f t="shared" si="15"/>
        <v>149688.59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298470.78000000003</v>
      </c>
      <c r="G337" s="41">
        <f t="shared" si="20"/>
        <v>28963.329999999998</v>
      </c>
      <c r="H337" s="41">
        <f t="shared" si="20"/>
        <v>167817.36</v>
      </c>
      <c r="I337" s="41">
        <f t="shared" si="20"/>
        <v>66977.439999999988</v>
      </c>
      <c r="J337" s="41">
        <f t="shared" si="20"/>
        <v>15074.35</v>
      </c>
      <c r="K337" s="41">
        <f t="shared" si="20"/>
        <v>1481.42</v>
      </c>
      <c r="L337" s="41">
        <f t="shared" si="20"/>
        <v>578784.67999999993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298470.78000000003</v>
      </c>
      <c r="G351" s="41">
        <f>G337</f>
        <v>28963.329999999998</v>
      </c>
      <c r="H351" s="41">
        <f>H337</f>
        <v>167817.36</v>
      </c>
      <c r="I351" s="41">
        <f>I337</f>
        <v>66977.439999999988</v>
      </c>
      <c r="J351" s="41">
        <f>J337</f>
        <v>15074.35</v>
      </c>
      <c r="K351" s="47">
        <f>K337+K350</f>
        <v>1481.42</v>
      </c>
      <c r="L351" s="41">
        <f>L337+L350</f>
        <v>578784.67999999993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ROUNDDOWN((54737+189129.3+1291.88)/3*2,2)</f>
        <v>163438.78</v>
      </c>
      <c r="G357" s="18"/>
      <c r="H357" s="18">
        <f>ROUNDDOWN((14835.59+307.29)/3*2,2)</f>
        <v>10095.25</v>
      </c>
      <c r="I357" s="18">
        <f>ROUNDDOWN((927.24+18658.29+231238.75+1731.8)/3*2,2)</f>
        <v>168370.72</v>
      </c>
      <c r="J357" s="18"/>
      <c r="K357" s="18">
        <f>ROUNDDOWN(1975.9/3*2,2)</f>
        <v>1317.26</v>
      </c>
      <c r="L357" s="13">
        <f>SUM(F357:K357)</f>
        <v>343222.01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ROUNDUP((54737+189129.3+1291.88)/3,2)</f>
        <v>81719.399999999994</v>
      </c>
      <c r="G358" s="18"/>
      <c r="H358" s="18">
        <f>ROUNDUP((14835.59+307.29)/3,2)</f>
        <v>5047.63</v>
      </c>
      <c r="I358" s="18">
        <f>ROUNDUP((927.24+18658.29+231238.75+1731.8)/3,2)</f>
        <v>84185.36</v>
      </c>
      <c r="J358" s="18"/>
      <c r="K358" s="18">
        <f>ROUNDUP(1975.9/3,2)</f>
        <v>658.64</v>
      </c>
      <c r="L358" s="19">
        <f>SUM(F358:K358)</f>
        <v>171611.03000000003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245158.18</v>
      </c>
      <c r="G361" s="47">
        <f t="shared" si="22"/>
        <v>0</v>
      </c>
      <c r="H361" s="47">
        <f t="shared" si="22"/>
        <v>15142.880000000001</v>
      </c>
      <c r="I361" s="47">
        <f t="shared" si="22"/>
        <v>252556.08000000002</v>
      </c>
      <c r="J361" s="47">
        <f t="shared" si="22"/>
        <v>0</v>
      </c>
      <c r="K361" s="47">
        <f t="shared" si="22"/>
        <v>1975.9</v>
      </c>
      <c r="L361" s="47">
        <f t="shared" si="22"/>
        <v>514833.04000000004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ROUNDDOWN((231238.75+1731.8)/3*2,2)</f>
        <v>155313.70000000001</v>
      </c>
      <c r="G366" s="18">
        <f>ROUNDUP((231238.75+1731.8)/3,2)</f>
        <v>77656.850000000006</v>
      </c>
      <c r="H366" s="18"/>
      <c r="I366" s="56">
        <f>SUM(F366:H366)</f>
        <v>232970.55000000002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f>ROUNDDOWN((927.24+18658.29)/3*2,2)</f>
        <v>13057.02</v>
      </c>
      <c r="G367" s="18">
        <f>ROUNDUP((927.24+18658.29)/3,2)</f>
        <v>6528.51</v>
      </c>
      <c r="H367" s="63"/>
      <c r="I367" s="56">
        <f>SUM(F367:H367)</f>
        <v>19585.53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168370.72</v>
      </c>
      <c r="G368" s="47">
        <f>SUM(G366:G367)</f>
        <v>84185.36</v>
      </c>
      <c r="H368" s="47">
        <f>SUM(H366:H367)</f>
        <v>0</v>
      </c>
      <c r="I368" s="47">
        <f>SUM(I366:I367)</f>
        <v>252556.08000000002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75000</v>
      </c>
      <c r="H396" s="18">
        <f>3396.91-68.63</f>
        <v>3328.2799999999997</v>
      </c>
      <c r="I396" s="18"/>
      <c r="J396" s="24" t="s">
        <v>289</v>
      </c>
      <c r="K396" s="24" t="s">
        <v>289</v>
      </c>
      <c r="L396" s="56">
        <f t="shared" si="26"/>
        <v>78328.28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3328.2799999999997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78328.28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3328.2799999999997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78328.28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204562.23+7215.02</f>
        <v>211777.25</v>
      </c>
      <c r="H439" s="18"/>
      <c r="I439" s="56">
        <f t="shared" si="33"/>
        <v>211777.25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211777.25</v>
      </c>
      <c r="H445" s="13">
        <f>SUM(H438:H444)</f>
        <v>0</v>
      </c>
      <c r="I445" s="13">
        <f>SUM(I438:I444)</f>
        <v>211777.25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211777.25</v>
      </c>
      <c r="H458" s="18"/>
      <c r="I458" s="56">
        <f t="shared" si="34"/>
        <v>211777.25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211777.25</v>
      </c>
      <c r="H459" s="83">
        <f>SUM(H453:H458)</f>
        <v>0</v>
      </c>
      <c r="I459" s="83">
        <f>SUM(I453:I458)</f>
        <v>211777.25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211777.25</v>
      </c>
      <c r="H460" s="42">
        <f>H451+H459</f>
        <v>0</v>
      </c>
      <c r="I460" s="42">
        <f>I451+I459</f>
        <v>211777.25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408128+75000+146880.4</f>
        <v>630008.4</v>
      </c>
      <c r="G464" s="18">
        <v>451.9</v>
      </c>
      <c r="H464" s="18">
        <v>0</v>
      </c>
      <c r="I464" s="18"/>
      <c r="J464" s="18">
        <v>133448.97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17558997.329999998</v>
      </c>
      <c r="G467" s="18">
        <f>514965.62-1975.9+1500</f>
        <v>514489.72</v>
      </c>
      <c r="H467" s="274">
        <v>578784.68000000005</v>
      </c>
      <c r="I467" s="18"/>
      <c r="J467" s="18">
        <f>75000+3396.91-68.63</f>
        <v>78328.28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17558997.329999998</v>
      </c>
      <c r="G469" s="53">
        <f>SUM(G467:G468)</f>
        <v>514489.72</v>
      </c>
      <c r="H469" s="53">
        <f>SUM(H467:H468)</f>
        <v>578784.68000000005</v>
      </c>
      <c r="I469" s="53">
        <f>SUM(I467:I468)</f>
        <v>0</v>
      </c>
      <c r="J469" s="53">
        <f>SUM(J467:J468)</f>
        <v>78328.28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18010515.96</f>
        <v>18010515.960000001</v>
      </c>
      <c r="G471" s="18">
        <v>514833.04</v>
      </c>
      <c r="H471" s="18">
        <v>578784.68000000005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18010515.960000001</v>
      </c>
      <c r="G473" s="53">
        <f>SUM(G471:G472)</f>
        <v>514833.04</v>
      </c>
      <c r="H473" s="53">
        <f>SUM(H471:H472)</f>
        <v>578784.68000000005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178489.76999999583</v>
      </c>
      <c r="G475" s="53">
        <f>(G464+G469)- G473</f>
        <v>108.5800000000163</v>
      </c>
      <c r="H475" s="53">
        <f>(H464+H469)- H473</f>
        <v>0</v>
      </c>
      <c r="I475" s="53">
        <f>(I464+I469)- I473</f>
        <v>0</v>
      </c>
      <c r="J475" s="53">
        <f>(J464+J469)- J473</f>
        <v>211777.25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3970000</v>
      </c>
      <c r="G492" s="18">
        <v>1770000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5.71</v>
      </c>
      <c r="G493" s="18">
        <v>4.91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1445000</v>
      </c>
      <c r="G494" s="18">
        <v>820000</v>
      </c>
      <c r="H494" s="18"/>
      <c r="I494" s="18"/>
      <c r="J494" s="18"/>
      <c r="K494" s="53">
        <f>SUM(F494:J494)</f>
        <v>2265000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255000</v>
      </c>
      <c r="G496" s="18">
        <v>100000</v>
      </c>
      <c r="H496" s="18"/>
      <c r="I496" s="18"/>
      <c r="J496" s="18"/>
      <c r="K496" s="53">
        <f t="shared" si="35"/>
        <v>355000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1190000</v>
      </c>
      <c r="G497" s="204">
        <f>G494-G496</f>
        <v>720000</v>
      </c>
      <c r="H497" s="204"/>
      <c r="I497" s="204"/>
      <c r="J497" s="204"/>
      <c r="K497" s="205">
        <f t="shared" si="35"/>
        <v>1910000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217781.25-75756.25</f>
        <v>142025</v>
      </c>
      <c r="G498" s="18">
        <f>152000-38500</f>
        <v>113500</v>
      </c>
      <c r="H498" s="18"/>
      <c r="I498" s="18"/>
      <c r="J498" s="18"/>
      <c r="K498" s="53">
        <f t="shared" si="35"/>
        <v>255525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1332025</v>
      </c>
      <c r="G499" s="42">
        <f>SUM(G497:G498)</f>
        <v>833500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2165525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270000</v>
      </c>
      <c r="G500" s="204">
        <v>105000</v>
      </c>
      <c r="H500" s="204"/>
      <c r="I500" s="204"/>
      <c r="J500" s="204"/>
      <c r="K500" s="205">
        <f t="shared" si="35"/>
        <v>375000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34212.5+26450</f>
        <v>60662.5</v>
      </c>
      <c r="G501" s="18">
        <f>18000+15375</f>
        <v>33375</v>
      </c>
      <c r="H501" s="18"/>
      <c r="I501" s="18"/>
      <c r="J501" s="18"/>
      <c r="K501" s="53">
        <f t="shared" si="35"/>
        <v>94037.5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330662.5</v>
      </c>
      <c r="G502" s="42">
        <f>SUM(G500:G501)</f>
        <v>138375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469037.5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286370.5+295074.5+68279.84+107894.53+12022.5+88810.64</f>
        <v>858452.51</v>
      </c>
      <c r="G520" s="18">
        <f>6794.98+(344573.88-50523.49)</f>
        <v>300845.37</v>
      </c>
      <c r="H520" s="18">
        <f>73014.94+103679.62</f>
        <v>176694.56</v>
      </c>
      <c r="I520" s="18">
        <f>34372.13+2285.54</f>
        <v>36657.67</v>
      </c>
      <c r="J520" s="18">
        <f>2279.56</f>
        <v>2279.56</v>
      </c>
      <c r="K520" s="18">
        <f>166.66</f>
        <v>166.66</v>
      </c>
      <c r="L520" s="88">
        <f>SUM(F520:K520)</f>
        <v>1375096.3299999998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334312.58+132435.38+41019.82</f>
        <v>507767.78</v>
      </c>
      <c r="G521" s="18">
        <f>3138.56+(204827.79-25261.75)</f>
        <v>182704.6</v>
      </c>
      <c r="H521" s="18">
        <f>35950.97+115677.95</f>
        <v>151628.91999999998</v>
      </c>
      <c r="I521" s="18">
        <f>16402.63+1142.78</f>
        <v>17545.41</v>
      </c>
      <c r="J521" s="18">
        <f>1139.79</f>
        <v>1139.79</v>
      </c>
      <c r="K521" s="18">
        <f>83.34</f>
        <v>83.34</v>
      </c>
      <c r="L521" s="88">
        <f>SUM(F521:K521)</f>
        <v>860869.84000000008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1366220.29</v>
      </c>
      <c r="G523" s="108">
        <f t="shared" ref="G523:L523" si="36">SUM(G520:G522)</f>
        <v>483549.97</v>
      </c>
      <c r="H523" s="108">
        <f t="shared" si="36"/>
        <v>328323.48</v>
      </c>
      <c r="I523" s="108">
        <f t="shared" si="36"/>
        <v>54203.08</v>
      </c>
      <c r="J523" s="108">
        <f t="shared" si="36"/>
        <v>3419.35</v>
      </c>
      <c r="K523" s="108">
        <f t="shared" si="36"/>
        <v>250</v>
      </c>
      <c r="L523" s="89">
        <f t="shared" si="36"/>
        <v>2235966.17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115699.4+68709+ROUNDDOWN((138764+129713)/3*2,2)</f>
        <v>363393.06</v>
      </c>
      <c r="G525" s="18">
        <v>144332.04999999999</v>
      </c>
      <c r="H525" s="18"/>
      <c r="I525" s="18"/>
      <c r="J525" s="18"/>
      <c r="K525" s="18"/>
      <c r="L525" s="88">
        <f>SUM(F525:K525)</f>
        <v>507725.11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12992.6+19870+ROUNDUP((138764+129713)/3,2)</f>
        <v>122354.94</v>
      </c>
      <c r="G526" s="18">
        <v>48632.17</v>
      </c>
      <c r="H526" s="18"/>
      <c r="I526" s="18"/>
      <c r="J526" s="18"/>
      <c r="K526" s="18"/>
      <c r="L526" s="88">
        <f>SUM(F526:K526)</f>
        <v>170987.11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485748</v>
      </c>
      <c r="G528" s="89">
        <f t="shared" ref="G528:L528" si="37">SUM(G525:G527)</f>
        <v>192964.21999999997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678712.22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ROUNDDOWN((80158+66663)/3*2,2)</f>
        <v>97880.66</v>
      </c>
      <c r="G530" s="18">
        <f>ROUNDDOWN(75785.24/3*2,2)</f>
        <v>50523.49</v>
      </c>
      <c r="H530" s="18"/>
      <c r="I530" s="18"/>
      <c r="J530" s="18"/>
      <c r="K530" s="18"/>
      <c r="L530" s="88">
        <f>SUM(F530:K530)</f>
        <v>148404.15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ROUNDUP((80158+66663)/3,2)</f>
        <v>48940.340000000004</v>
      </c>
      <c r="G531" s="18">
        <f>ROUNDUP(75785.24/3,2)</f>
        <v>25261.75</v>
      </c>
      <c r="H531" s="18"/>
      <c r="I531" s="18"/>
      <c r="J531" s="18"/>
      <c r="K531" s="18"/>
      <c r="L531" s="88">
        <f>SUM(F531:K531)</f>
        <v>74202.09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146821</v>
      </c>
      <c r="G533" s="89">
        <f t="shared" ref="G533:L533" si="38">SUM(G530:G532)</f>
        <v>75785.239999999991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222606.24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2700+4830</f>
        <v>7530</v>
      </c>
      <c r="I540" s="18"/>
      <c r="J540" s="18"/>
      <c r="K540" s="18"/>
      <c r="L540" s="88">
        <f>SUM(F540:K540)</f>
        <v>7530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103077.4</v>
      </c>
      <c r="I541" s="18"/>
      <c r="J541" s="18"/>
      <c r="K541" s="18"/>
      <c r="L541" s="88">
        <f>SUM(F541:K541)</f>
        <v>103077.4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110607.4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110607.4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1998789.29</v>
      </c>
      <c r="G544" s="89">
        <f t="shared" ref="G544:L544" si="41">G523+G528+G533+G538+G543</f>
        <v>752299.42999999993</v>
      </c>
      <c r="H544" s="89">
        <f t="shared" si="41"/>
        <v>438930.88</v>
      </c>
      <c r="I544" s="89">
        <f t="shared" si="41"/>
        <v>54203.08</v>
      </c>
      <c r="J544" s="89">
        <f t="shared" si="41"/>
        <v>3419.35</v>
      </c>
      <c r="K544" s="89">
        <f t="shared" si="41"/>
        <v>250</v>
      </c>
      <c r="L544" s="89">
        <f t="shared" si="41"/>
        <v>3247892.03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1375096.3299999998</v>
      </c>
      <c r="G548" s="87">
        <f>L525</f>
        <v>507725.11</v>
      </c>
      <c r="H548" s="87">
        <f>L530</f>
        <v>148404.15</v>
      </c>
      <c r="I548" s="87">
        <f>L535</f>
        <v>0</v>
      </c>
      <c r="J548" s="87">
        <f>L540</f>
        <v>7530</v>
      </c>
      <c r="K548" s="87">
        <f>SUM(F548:J548)</f>
        <v>2038755.5899999999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860869.84000000008</v>
      </c>
      <c r="G549" s="87">
        <f>L526</f>
        <v>170987.11</v>
      </c>
      <c r="H549" s="87">
        <f>L531</f>
        <v>74202.09</v>
      </c>
      <c r="I549" s="87">
        <f>L536</f>
        <v>0</v>
      </c>
      <c r="J549" s="87">
        <f>L541</f>
        <v>103077.4</v>
      </c>
      <c r="K549" s="87">
        <f>SUM(F549:J549)</f>
        <v>1209136.44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2235966.17</v>
      </c>
      <c r="G551" s="89">
        <f t="shared" si="42"/>
        <v>678712.22</v>
      </c>
      <c r="H551" s="89">
        <f t="shared" si="42"/>
        <v>222606.24</v>
      </c>
      <c r="I551" s="89">
        <f t="shared" si="42"/>
        <v>0</v>
      </c>
      <c r="J551" s="89">
        <f t="shared" si="42"/>
        <v>110607.4</v>
      </c>
      <c r="K551" s="89">
        <f t="shared" si="42"/>
        <v>3247892.03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ROUNDDOWN(49669.88/3*2,2)</f>
        <v>33113.25</v>
      </c>
      <c r="G561" s="18">
        <f>ROUNDDOWN((3799.75+5612.7+16357.77+453.12+163.91+78)/3*2,2)</f>
        <v>17643.5</v>
      </c>
      <c r="H561" s="18"/>
      <c r="I561" s="18"/>
      <c r="J561" s="18"/>
      <c r="K561" s="18"/>
      <c r="L561" s="88">
        <f>SUM(F561:K561)</f>
        <v>50756.75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ROUNDUP(49669.88/3,2)</f>
        <v>16556.629999999997</v>
      </c>
      <c r="G562" s="18">
        <f>ROUNDUP((3799.75+5612.7+16357.77+453.12+163.91+78)/3,2)</f>
        <v>8821.75</v>
      </c>
      <c r="H562" s="18"/>
      <c r="I562" s="18"/>
      <c r="J562" s="18"/>
      <c r="K562" s="18"/>
      <c r="L562" s="88">
        <f>SUM(F562:K562)</f>
        <v>25378.379999999997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49669.88</v>
      </c>
      <c r="G564" s="89">
        <f t="shared" si="44"/>
        <v>26465.25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76135.13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49669.88</v>
      </c>
      <c r="G570" s="89">
        <f t="shared" ref="G570:L570" si="46">G559+G564+G569</f>
        <v>26465.25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76135.13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3993+6000</f>
        <v>9993</v>
      </c>
      <c r="G581" s="18">
        <v>68834.63</v>
      </c>
      <c r="H581" s="18"/>
      <c r="I581" s="87">
        <f t="shared" si="47"/>
        <v>78827.63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188905.95+190905.92</f>
        <v>379811.87</v>
      </c>
      <c r="I590" s="18">
        <v>188905.91</v>
      </c>
      <c r="J590" s="18"/>
      <c r="K590" s="104">
        <f t="shared" ref="K590:K596" si="48">SUM(H590:J590)</f>
        <v>568717.78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2700+4830</f>
        <v>7530</v>
      </c>
      <c r="I591" s="18">
        <v>103077.4</v>
      </c>
      <c r="J591" s="18"/>
      <c r="K591" s="104">
        <f t="shared" si="48"/>
        <v>110607.4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9241.7999999999993</v>
      </c>
      <c r="J593" s="18"/>
      <c r="K593" s="104">
        <f t="shared" si="48"/>
        <v>9241.7999999999993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1971.9+2000</f>
        <v>3971.9</v>
      </c>
      <c r="I594" s="18">
        <v>1982.55</v>
      </c>
      <c r="J594" s="18"/>
      <c r="K594" s="104">
        <f t="shared" si="48"/>
        <v>5954.45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11478.07+22031.18</f>
        <v>33509.25</v>
      </c>
      <c r="I596" s="18">
        <v>24193.15</v>
      </c>
      <c r="J596" s="18"/>
      <c r="K596" s="104">
        <f t="shared" si="48"/>
        <v>57702.400000000001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424823.02</v>
      </c>
      <c r="I597" s="108">
        <f>SUM(I590:I596)</f>
        <v>327400.81</v>
      </c>
      <c r="J597" s="108">
        <f>SUM(J590:J596)</f>
        <v>0</v>
      </c>
      <c r="K597" s="108">
        <f>SUM(K590:K596)</f>
        <v>752223.83000000007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166882.68+2279.56+13515</f>
        <v>182677.24</v>
      </c>
      <c r="I603" s="18">
        <f>86152.34+12794.79</f>
        <v>98947.13</v>
      </c>
      <c r="J603" s="18"/>
      <c r="K603" s="104">
        <f>SUM(H603:J603)</f>
        <v>281624.37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182677.24</v>
      </c>
      <c r="I604" s="108">
        <f>SUM(I601:I603)</f>
        <v>98947.13</v>
      </c>
      <c r="J604" s="108">
        <f>SUM(J601:J603)</f>
        <v>0</v>
      </c>
      <c r="K604" s="108">
        <f>SUM(K601:K603)</f>
        <v>281624.37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305292.98000000004</v>
      </c>
      <c r="H616" s="109">
        <f>SUM(F51)</f>
        <v>305292.98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15739.31</v>
      </c>
      <c r="H617" s="109">
        <f>SUM(G51)</f>
        <v>15739.31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82777.58</v>
      </c>
      <c r="H618" s="109">
        <f>SUM(H51)</f>
        <v>82777.58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150864.95999999999</v>
      </c>
      <c r="H619" s="109">
        <f>SUM(I51)</f>
        <v>150864.95999999999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211777.25</v>
      </c>
      <c r="H620" s="109">
        <f>SUM(J51)</f>
        <v>211777.25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178489.77</v>
      </c>
      <c r="H621" s="109">
        <f>F475</f>
        <v>178489.76999999583</v>
      </c>
      <c r="I621" s="121" t="s">
        <v>101</v>
      </c>
      <c r="J621" s="109">
        <f t="shared" ref="J621:J654" si="50">G621-H621</f>
        <v>4.1618477553129196E-9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108.58</v>
      </c>
      <c r="H622" s="109">
        <f>G475</f>
        <v>108.5800000000163</v>
      </c>
      <c r="I622" s="121" t="s">
        <v>102</v>
      </c>
      <c r="J622" s="109">
        <f t="shared" si="50"/>
        <v>-1.6299850358336698E-11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211777.25</v>
      </c>
      <c r="H625" s="109">
        <f>J475</f>
        <v>211777.25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17558997.330000002</v>
      </c>
      <c r="H626" s="104">
        <f>SUM(F467)</f>
        <v>17558997.329999998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514489.72</v>
      </c>
      <c r="H627" s="104">
        <f>SUM(G467)</f>
        <v>514489.72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578784.68000000005</v>
      </c>
      <c r="H628" s="104">
        <f>SUM(H467)</f>
        <v>578784.68000000005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78328.28</v>
      </c>
      <c r="H630" s="104">
        <f>SUM(J467)</f>
        <v>78328.28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18010515.959999997</v>
      </c>
      <c r="H631" s="104">
        <f>SUM(F471)</f>
        <v>18010515.960000001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578784.67999999993</v>
      </c>
      <c r="H632" s="104">
        <f>SUM(H471)</f>
        <v>578784.68000000005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252556.08000000002</v>
      </c>
      <c r="H633" s="104">
        <f>I368</f>
        <v>252556.08000000002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514833.04000000004</v>
      </c>
      <c r="H634" s="104">
        <f>SUM(G471)</f>
        <v>514833.04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78328.28</v>
      </c>
      <c r="H636" s="164">
        <f>SUM(J467)</f>
        <v>78328.28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211777.25</v>
      </c>
      <c r="H639" s="104">
        <f>SUM(G460)</f>
        <v>211777.25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211777.25</v>
      </c>
      <c r="H641" s="104">
        <f>SUM(I460)</f>
        <v>211777.25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3328.2799999999997</v>
      </c>
      <c r="H643" s="104">
        <f>H407</f>
        <v>3328.2799999999997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78328.28</v>
      </c>
      <c r="H645" s="104">
        <f>L407</f>
        <v>78328.28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752223.83000000007</v>
      </c>
      <c r="H646" s="104">
        <f>L207+L225+L243</f>
        <v>752223.83000000007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281624.37</v>
      </c>
      <c r="H647" s="104">
        <f>(J256+J337)-(J254+J335)</f>
        <v>281624.37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424823.02</v>
      </c>
      <c r="H648" s="104">
        <f>H597</f>
        <v>424823.02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327400.81</v>
      </c>
      <c r="H649" s="104">
        <f>I597</f>
        <v>327400.81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14000</v>
      </c>
      <c r="H651" s="104">
        <f>K262+K344</f>
        <v>14000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11519777.379999999</v>
      </c>
      <c r="G659" s="19">
        <f>(L228+L308+L358)</f>
        <v>6569019.3099999987</v>
      </c>
      <c r="H659" s="19">
        <f>(L246+L327+L359)</f>
        <v>0</v>
      </c>
      <c r="I659" s="19">
        <f>SUM(F659:H659)</f>
        <v>18088796.689999998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209780.16981319358</v>
      </c>
      <c r="G660" s="19">
        <f>(L358/IF(SUM(L357:L359)=0,1,SUM(L357:L359))*(SUM(G96:G109)))</f>
        <v>104890.10018680638</v>
      </c>
      <c r="H660" s="19">
        <f>(L359/IF(SUM(L357:L359)=0,1,SUM(L357:L359))*(SUM(G96:G109)))</f>
        <v>0</v>
      </c>
      <c r="I660" s="19">
        <f>SUM(F660:H660)</f>
        <v>314670.26999999996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424823.02</v>
      </c>
      <c r="G661" s="19">
        <f>(L225+L305)-(J225+J305)</f>
        <v>327400.81</v>
      </c>
      <c r="H661" s="19">
        <f>(L243+L324)-(J243+J324)</f>
        <v>0</v>
      </c>
      <c r="I661" s="19">
        <f>SUM(F661:H661)</f>
        <v>752223.83000000007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192670.24</v>
      </c>
      <c r="G662" s="199">
        <f>SUM(G574:G586)+SUM(I601:I603)+L611</f>
        <v>167781.76000000001</v>
      </c>
      <c r="H662" s="199">
        <f>SUM(H574:H586)+SUM(J601:J603)+L612</f>
        <v>0</v>
      </c>
      <c r="I662" s="19">
        <f>SUM(F662:H662)</f>
        <v>360452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10692503.950186806</v>
      </c>
      <c r="G663" s="19">
        <f>G659-SUM(G660:G662)</f>
        <v>5968946.6398131922</v>
      </c>
      <c r="H663" s="19">
        <f>H659-SUM(H660:H662)</f>
        <v>0</v>
      </c>
      <c r="I663" s="19">
        <f>I659-SUM(I660:I662)</f>
        <v>16661450.589999998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412.02+403.09</f>
        <v>815.1099999999999</v>
      </c>
      <c r="G664" s="248">
        <v>400.64</v>
      </c>
      <c r="H664" s="248"/>
      <c r="I664" s="19">
        <f>SUM(F664:H664)</f>
        <v>1215.75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13117.87</v>
      </c>
      <c r="G666" s="19">
        <f>ROUND(G663/G664,2)</f>
        <v>14898.53</v>
      </c>
      <c r="H666" s="19" t="e">
        <f>ROUND(H663/H664,2)</f>
        <v>#DIV/0!</v>
      </c>
      <c r="I666" s="19">
        <f>ROUND(I663/I664,2)</f>
        <v>13704.67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13117.87</v>
      </c>
      <c r="G671" s="19">
        <f>ROUND((G663+G668)/(G664+G669),2)</f>
        <v>14898.53</v>
      </c>
      <c r="H671" s="19" t="e">
        <f>ROUND((H663+H668)/(H664+H669),2)</f>
        <v>#DIV/0!</v>
      </c>
      <c r="I671" s="19">
        <f>ROUND((I663+I668)/(I664+I669),2)</f>
        <v>13704.67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6194558.2999999998</v>
      </c>
      <c r="C9" s="229">
        <f>'DOE25'!G196+'DOE25'!G214+'DOE25'!G232+'DOE25'!G275+'DOE25'!G294+'DOE25'!G313</f>
        <v>2412419.65</v>
      </c>
    </row>
    <row r="10" spans="1:3" x14ac:dyDescent="0.2">
      <c r="A10" t="s">
        <v>779</v>
      </c>
      <c r="B10" s="240">
        <f>1924498.03+1637745.4+2132970.98+178887.57+250+15000+3812.5+2762.5+880+53129.28+480+1280+48390+2935</f>
        <v>6003021.2600000007</v>
      </c>
      <c r="C10" s="240">
        <f>2412419.65-15935.38</f>
        <v>2396484.27</v>
      </c>
    </row>
    <row r="11" spans="1:3" x14ac:dyDescent="0.2">
      <c r="A11" t="s">
        <v>780</v>
      </c>
      <c r="B11" s="240">
        <f>151159.75+656.25+2000+10409.64+19802.28+4009.12</f>
        <v>188037.04</v>
      </c>
      <c r="C11" s="240">
        <f>14384.83+1034.2</f>
        <v>15419.03</v>
      </c>
    </row>
    <row r="12" spans="1:3" x14ac:dyDescent="0.2">
      <c r="A12" t="s">
        <v>781</v>
      </c>
      <c r="B12" s="240">
        <f>650+650+2200</f>
        <v>3500</v>
      </c>
      <c r="C12" s="240">
        <f>267.75+248.6</f>
        <v>516.35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6194558.3000000007</v>
      </c>
      <c r="C13" s="231">
        <f>SUM(C10:C12)</f>
        <v>2412419.65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1513041.29</v>
      </c>
      <c r="C18" s="229">
        <f>'DOE25'!G197+'DOE25'!G215+'DOE25'!G233+'DOE25'!G276+'DOE25'!G295+'DOE25'!G314</f>
        <v>559335.21000000008</v>
      </c>
    </row>
    <row r="19" spans="1:3" x14ac:dyDescent="0.2">
      <c r="A19" t="s">
        <v>779</v>
      </c>
      <c r="B19" s="240">
        <f>915757.58</f>
        <v>915757.58</v>
      </c>
      <c r="C19" s="240">
        <f>559335.21-112723.19</f>
        <v>446612.01999999996</v>
      </c>
    </row>
    <row r="20" spans="1:3" x14ac:dyDescent="0.2">
      <c r="A20" t="s">
        <v>780</v>
      </c>
      <c r="B20" s="240">
        <f>308609.75+12022.5+122759.46+300+6771</f>
        <v>450462.71</v>
      </c>
      <c r="C20" s="240">
        <f>34460.4+2477.55</f>
        <v>36937.950000000004</v>
      </c>
    </row>
    <row r="21" spans="1:3" x14ac:dyDescent="0.2">
      <c r="A21" t="s">
        <v>781</v>
      </c>
      <c r="B21" s="240">
        <f>80158+66663</f>
        <v>146821</v>
      </c>
      <c r="C21" s="240">
        <f>11231.81+9057.85+5866.34+16186.99+353.34+16186.99+453.12+14969.76+453.12+156+62.4+807.52</f>
        <v>75785.239999999991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1513041.29</v>
      </c>
      <c r="C22" s="231">
        <f>SUM(C19:C21)</f>
        <v>559335.21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68830.5</v>
      </c>
      <c r="C36" s="235">
        <f>'DOE25'!G199+'DOE25'!G217+'DOE25'!G235+'DOE25'!G278+'DOE25'!G297+'DOE25'!G316</f>
        <v>13043.38</v>
      </c>
    </row>
    <row r="37" spans="1:3" x14ac:dyDescent="0.2">
      <c r="A37" t="s">
        <v>779</v>
      </c>
      <c r="B37" s="240">
        <f>44817+24013.5</f>
        <v>68830.5</v>
      </c>
      <c r="C37" s="240">
        <v>13043.38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68830.5</v>
      </c>
      <c r="C40" s="231">
        <f>SUM(C37:C39)</f>
        <v>13043.38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FY2012-2013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32" sqref="E3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Hampton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10898272.149999999</v>
      </c>
      <c r="D5" s="20">
        <f>SUM('DOE25'!L196:L199)+SUM('DOE25'!L214:L217)+SUM('DOE25'!L232:L235)-F5-G5</f>
        <v>10891529.249999998</v>
      </c>
      <c r="E5" s="243"/>
      <c r="F5" s="255">
        <f>SUM('DOE25'!J196:J199)+SUM('DOE25'!J214:J217)+SUM('DOE25'!J232:J235)</f>
        <v>6492.9</v>
      </c>
      <c r="G5" s="53">
        <f>SUM('DOE25'!K196:K199)+SUM('DOE25'!K214:K217)+SUM('DOE25'!K232:K235)</f>
        <v>250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1377292.07</v>
      </c>
      <c r="D6" s="20">
        <f>'DOE25'!L201+'DOE25'!L219+'DOE25'!L237-F6-G6</f>
        <v>1376972.98</v>
      </c>
      <c r="E6" s="243"/>
      <c r="F6" s="255">
        <f>'DOE25'!J201+'DOE25'!J219+'DOE25'!J237</f>
        <v>319.08999999999997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1072263.71</v>
      </c>
      <c r="D7" s="20">
        <f>'DOE25'!L202+'DOE25'!L220+'DOE25'!L238-F7-G7</f>
        <v>840285.85</v>
      </c>
      <c r="E7" s="243"/>
      <c r="F7" s="255">
        <f>'DOE25'!J202+'DOE25'!J220+'DOE25'!J238</f>
        <v>231092.86</v>
      </c>
      <c r="G7" s="53">
        <f>'DOE25'!K202+'DOE25'!K220+'DOE25'!K238</f>
        <v>885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267741.48</v>
      </c>
      <c r="D8" s="243"/>
      <c r="E8" s="20">
        <f>'DOE25'!L203+'DOE25'!L221+'DOE25'!L239-F8-G8-D9-D11</f>
        <v>255233.70999999996</v>
      </c>
      <c r="F8" s="255">
        <f>'DOE25'!J203+'DOE25'!J221+'DOE25'!J239</f>
        <v>420.63</v>
      </c>
      <c r="G8" s="53">
        <f>'DOE25'!K203+'DOE25'!K221+'DOE25'!K239</f>
        <v>12087.14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54491.08</v>
      </c>
      <c r="D9" s="244">
        <f>39491.08+15000</f>
        <v>54491.08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15000</v>
      </c>
      <c r="D10" s="243"/>
      <c r="E10" s="244">
        <v>15000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199495.86</v>
      </c>
      <c r="D11" s="244">
        <f>120000+(49000/2)+11054.25+12716+794.75+156+29939.52+335.34</f>
        <v>199495.86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938290.96</v>
      </c>
      <c r="D12" s="20">
        <f>'DOE25'!L204+'DOE25'!L222+'DOE25'!L240-F12-G12</f>
        <v>934376.95999999996</v>
      </c>
      <c r="E12" s="243"/>
      <c r="F12" s="255">
        <f>'DOE25'!J204+'DOE25'!J222+'DOE25'!J240</f>
        <v>0</v>
      </c>
      <c r="G12" s="53">
        <f>'DOE25'!K204+'DOE25'!K222+'DOE25'!K240</f>
        <v>3914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1435107.83</v>
      </c>
      <c r="D14" s="20">
        <f>'DOE25'!L206+'DOE25'!L224+'DOE25'!L242-F14-G14</f>
        <v>1419366.85</v>
      </c>
      <c r="E14" s="243"/>
      <c r="F14" s="255">
        <f>'DOE25'!J206+'DOE25'!J224+'DOE25'!J242</f>
        <v>14709.54</v>
      </c>
      <c r="G14" s="53">
        <f>'DOE25'!K206+'DOE25'!K224+'DOE25'!K242</f>
        <v>1031.44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752223.83000000007</v>
      </c>
      <c r="D15" s="20">
        <f>'DOE25'!L207+'DOE25'!L225+'DOE25'!L243-F15-G15</f>
        <v>752223.83000000007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15563</v>
      </c>
      <c r="D19" s="20">
        <f>'DOE25'!L252-F19-G19</f>
        <v>2048</v>
      </c>
      <c r="E19" s="243"/>
      <c r="F19" s="255">
        <f>'DOE25'!J252</f>
        <v>13515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404439.68</v>
      </c>
      <c r="D22" s="243"/>
      <c r="E22" s="243"/>
      <c r="F22" s="255">
        <f>'DOE25'!L254+'DOE25'!L335</f>
        <v>404439.68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469256.25</v>
      </c>
      <c r="D25" s="243"/>
      <c r="E25" s="243"/>
      <c r="F25" s="258"/>
      <c r="G25" s="256"/>
      <c r="H25" s="257">
        <f>'DOE25'!L259+'DOE25'!L260+'DOE25'!L340+'DOE25'!L341</f>
        <v>469256.25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281862.49</v>
      </c>
      <c r="D29" s="20">
        <f>'DOE25'!L357+'DOE25'!L358+'DOE25'!L359-'DOE25'!I366-F29-G29</f>
        <v>279886.58999999997</v>
      </c>
      <c r="E29" s="243"/>
      <c r="F29" s="255">
        <f>'DOE25'!J357+'DOE25'!J358+'DOE25'!J359</f>
        <v>0</v>
      </c>
      <c r="G29" s="53">
        <f>'DOE25'!K357+'DOE25'!K358+'DOE25'!K359</f>
        <v>1975.9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578784.67999999993</v>
      </c>
      <c r="D31" s="20">
        <f>'DOE25'!L289+'DOE25'!L308+'DOE25'!L327+'DOE25'!L332+'DOE25'!L333+'DOE25'!L334-F31-G31</f>
        <v>562228.90999999992</v>
      </c>
      <c r="E31" s="243"/>
      <c r="F31" s="255">
        <f>'DOE25'!J289+'DOE25'!J308+'DOE25'!J327+'DOE25'!J332+'DOE25'!J333+'DOE25'!J334</f>
        <v>15074.35</v>
      </c>
      <c r="G31" s="53">
        <f>'DOE25'!K289+'DOE25'!K308+'DOE25'!K327+'DOE25'!K332+'DOE25'!K333+'DOE25'!K334</f>
        <v>1481.42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17312906.159999996</v>
      </c>
      <c r="E33" s="246">
        <f>SUM(E5:E31)</f>
        <v>270233.70999999996</v>
      </c>
      <c r="F33" s="246">
        <f>SUM(F5:F31)</f>
        <v>686064.04999999993</v>
      </c>
      <c r="G33" s="246">
        <f>SUM(G5:G31)</f>
        <v>21624.9</v>
      </c>
      <c r="H33" s="246">
        <f>SUM(H5:H31)</f>
        <v>469256.25</v>
      </c>
    </row>
    <row r="35" spans="2:8" ht="12" thickBot="1" x14ac:dyDescent="0.25">
      <c r="B35" s="253" t="s">
        <v>847</v>
      </c>
      <c r="D35" s="254">
        <f>E33</f>
        <v>270233.70999999996</v>
      </c>
      <c r="E35" s="249"/>
    </row>
    <row r="36" spans="2:8" ht="12" thickTop="1" x14ac:dyDescent="0.2">
      <c r="B36" t="s">
        <v>815</v>
      </c>
      <c r="D36" s="20">
        <f>D33</f>
        <v>17312906.159999996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6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129975.70000000001</v>
      </c>
      <c r="D8" s="95">
        <f>'DOE25'!G9</f>
        <v>300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211777.25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97873.57</v>
      </c>
      <c r="D11" s="95">
        <f>'DOE25'!G12</f>
        <v>343.32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56406.41</v>
      </c>
      <c r="D12" s="95">
        <f>'DOE25'!G13</f>
        <v>15095.99</v>
      </c>
      <c r="E12" s="95">
        <f>'DOE25'!H13</f>
        <v>82777.58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2631.3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18406</v>
      </c>
      <c r="D16" s="95">
        <f>'DOE25'!G17</f>
        <v>0</v>
      </c>
      <c r="E16" s="95">
        <f>'DOE25'!H17</f>
        <v>0</v>
      </c>
      <c r="F16" s="95">
        <f>'DOE25'!I17</f>
        <v>150864.95999999999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305292.98000000004</v>
      </c>
      <c r="D18" s="41">
        <f>SUM(D8:D17)</f>
        <v>15739.31</v>
      </c>
      <c r="E18" s="41">
        <f>SUM(E8:E17)</f>
        <v>82777.58</v>
      </c>
      <c r="F18" s="41">
        <f>SUM(F8:F17)</f>
        <v>150864.95999999999</v>
      </c>
      <c r="G18" s="41">
        <f>SUM(G8:G17)</f>
        <v>211777.25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15095.99</v>
      </c>
      <c r="E21" s="95">
        <f>'DOE25'!H22</f>
        <v>82777.58</v>
      </c>
      <c r="F21" s="95">
        <f>'DOE25'!I22</f>
        <v>150864.95999999999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58624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68179.209999999992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534.74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126803.20999999999</v>
      </c>
      <c r="D31" s="41">
        <f>SUM(D21:D30)</f>
        <v>15630.73</v>
      </c>
      <c r="E31" s="41">
        <f>SUM(E21:E30)</f>
        <v>82777.58</v>
      </c>
      <c r="F31" s="41">
        <f>SUM(F21:F30)</f>
        <v>150864.95999999999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42440.72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211777.25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108.58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136049.04999999999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178489.77</v>
      </c>
      <c r="D49" s="41">
        <f>SUM(D34:D48)</f>
        <v>108.58</v>
      </c>
      <c r="E49" s="41">
        <f>SUM(E34:E48)</f>
        <v>0</v>
      </c>
      <c r="F49" s="41">
        <f>SUM(F34:F48)</f>
        <v>0</v>
      </c>
      <c r="G49" s="41">
        <f>SUM(G34:G48)</f>
        <v>211777.25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305292.98</v>
      </c>
      <c r="D50" s="41">
        <f>D49+D31</f>
        <v>15739.31</v>
      </c>
      <c r="E50" s="41">
        <f>E49+E31</f>
        <v>82777.58</v>
      </c>
      <c r="F50" s="41">
        <f>F49+F31</f>
        <v>150864.95999999999</v>
      </c>
      <c r="G50" s="41">
        <f>G49+G31</f>
        <v>211777.25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12784272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3620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3328.2799999999997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314670.26999999996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180055.08999999997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183675.08999999997</v>
      </c>
      <c r="D61" s="130">
        <f>SUM(D56:D60)</f>
        <v>314670.26999999996</v>
      </c>
      <c r="E61" s="130">
        <f>SUM(E56:E60)</f>
        <v>0</v>
      </c>
      <c r="F61" s="130">
        <f>SUM(F56:F60)</f>
        <v>0</v>
      </c>
      <c r="G61" s="130">
        <f>SUM(G56:G60)</f>
        <v>3328.2799999999997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12967947.09</v>
      </c>
      <c r="D62" s="22">
        <f>D55+D61</f>
        <v>314670.26999999996</v>
      </c>
      <c r="E62" s="22">
        <f>E55+E61</f>
        <v>0</v>
      </c>
      <c r="F62" s="22">
        <f>F55+F61</f>
        <v>0</v>
      </c>
      <c r="G62" s="22">
        <f>G55+G61</f>
        <v>3328.2799999999997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83181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4244056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4327237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109737.7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60608.78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15000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6059.49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170346.47999999998</v>
      </c>
      <c r="D77" s="130">
        <f>SUM(D71:D76)</f>
        <v>6059.49</v>
      </c>
      <c r="E77" s="130">
        <f>SUM(E71:E76)</f>
        <v>15000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4497583.4800000004</v>
      </c>
      <c r="D80" s="130">
        <f>SUM(D78:D79)+D77+D69</f>
        <v>6059.49</v>
      </c>
      <c r="E80" s="130">
        <f>SUM(E78:E79)+E77+E69</f>
        <v>15000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93466.76</v>
      </c>
      <c r="D87" s="95">
        <f>SUM('DOE25'!G152:G160)</f>
        <v>179759.96</v>
      </c>
      <c r="E87" s="95">
        <f>SUM('DOE25'!H152:H160)</f>
        <v>563784.68000000005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93466.76</v>
      </c>
      <c r="D90" s="131">
        <f>SUM(D84:D89)</f>
        <v>179759.96</v>
      </c>
      <c r="E90" s="131">
        <f>SUM(E84:E89)</f>
        <v>563784.68000000005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14000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14000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17558997.330000002</v>
      </c>
      <c r="D103" s="86">
        <f>D62+D80+D90+D102</f>
        <v>514489.72</v>
      </c>
      <c r="E103" s="86">
        <f>E62+E80+E90+E102</f>
        <v>578784.68000000005</v>
      </c>
      <c r="F103" s="86">
        <f>F62+F80+F90+F102</f>
        <v>0</v>
      </c>
      <c r="G103" s="86">
        <f>G62+G80+G102</f>
        <v>78328.28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8612767.5799999982</v>
      </c>
      <c r="D108" s="24" t="s">
        <v>289</v>
      </c>
      <c r="E108" s="95">
        <f>('DOE25'!L275)+('DOE25'!L294)+('DOE25'!L313)</f>
        <v>275860.65999999997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2155648.39</v>
      </c>
      <c r="D109" s="24" t="s">
        <v>289</v>
      </c>
      <c r="E109" s="95">
        <f>('DOE25'!L276)+('DOE25'!L295)+('DOE25'!L314)</f>
        <v>302924.02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129856.18000000001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37078.06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15563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10950913.209999999</v>
      </c>
      <c r="D114" s="86">
        <f>SUM(D108:D113)</f>
        <v>0</v>
      </c>
      <c r="E114" s="86">
        <f>SUM(E108:E113)</f>
        <v>578784.67999999993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1377292.07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1072263.71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521728.42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938290.96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1435107.83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752223.83000000007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514833.04000000004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6096906.8200000003</v>
      </c>
      <c r="D127" s="86">
        <f>SUM(D117:D126)</f>
        <v>514833.04000000004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404439.68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114256.25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14000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78328.28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-3328.2799999999988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962695.92999999993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18010515.960000001</v>
      </c>
      <c r="D144" s="86">
        <f>(D114+D127+D143)</f>
        <v>514833.04000000004</v>
      </c>
      <c r="E144" s="86">
        <f>(E114+E127+E143)</f>
        <v>578784.67999999993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07/96</v>
      </c>
      <c r="C151" s="152" t="str">
        <f>'DOE25'!G490</f>
        <v>07/98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 t="str">
        <f>'DOE25'!G491</f>
        <v>08/18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3970000</v>
      </c>
      <c r="C153" s="137">
        <f>'DOE25'!G492</f>
        <v>1770000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5.71</v>
      </c>
      <c r="C154" s="137">
        <f>'DOE25'!G493</f>
        <v>4.91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1445000</v>
      </c>
      <c r="C155" s="137">
        <f>'DOE25'!G494</f>
        <v>820000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2265000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255000</v>
      </c>
      <c r="C157" s="137">
        <f>'DOE25'!G496</f>
        <v>100000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355000</v>
      </c>
    </row>
    <row r="158" spans="1:9" x14ac:dyDescent="0.2">
      <c r="A158" s="22" t="s">
        <v>35</v>
      </c>
      <c r="B158" s="137">
        <f>'DOE25'!F497</f>
        <v>1190000</v>
      </c>
      <c r="C158" s="137">
        <f>'DOE25'!G497</f>
        <v>720000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1910000</v>
      </c>
    </row>
    <row r="159" spans="1:9" x14ac:dyDescent="0.2">
      <c r="A159" s="22" t="s">
        <v>36</v>
      </c>
      <c r="B159" s="137">
        <f>'DOE25'!F498</f>
        <v>142025</v>
      </c>
      <c r="C159" s="137">
        <f>'DOE25'!G498</f>
        <v>113500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255525</v>
      </c>
    </row>
    <row r="160" spans="1:9" x14ac:dyDescent="0.2">
      <c r="A160" s="22" t="s">
        <v>37</v>
      </c>
      <c r="B160" s="137">
        <f>'DOE25'!F499</f>
        <v>1332025</v>
      </c>
      <c r="C160" s="137">
        <f>'DOE25'!G499</f>
        <v>833500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2165525</v>
      </c>
    </row>
    <row r="161" spans="1:7" x14ac:dyDescent="0.2">
      <c r="A161" s="22" t="s">
        <v>38</v>
      </c>
      <c r="B161" s="137">
        <f>'DOE25'!F500</f>
        <v>270000</v>
      </c>
      <c r="C161" s="137">
        <f>'DOE25'!G500</f>
        <v>105000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375000</v>
      </c>
    </row>
    <row r="162" spans="1:7" x14ac:dyDescent="0.2">
      <c r="A162" s="22" t="s">
        <v>39</v>
      </c>
      <c r="B162" s="137">
        <f>'DOE25'!F501</f>
        <v>60662.5</v>
      </c>
      <c r="C162" s="137">
        <f>'DOE25'!G501</f>
        <v>33375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94037.5</v>
      </c>
    </row>
    <row r="163" spans="1:7" x14ac:dyDescent="0.2">
      <c r="A163" s="22" t="s">
        <v>246</v>
      </c>
      <c r="B163" s="137">
        <f>'DOE25'!F502</f>
        <v>330662.5</v>
      </c>
      <c r="C163" s="137">
        <f>'DOE25'!G502</f>
        <v>138375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469037.5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Hampton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13118</v>
      </c>
    </row>
    <row r="5" spans="1:4" x14ac:dyDescent="0.2">
      <c r="B5" t="s">
        <v>704</v>
      </c>
      <c r="C5" s="179">
        <f>IF('DOE25'!G664+'DOE25'!G669=0,0,ROUND('DOE25'!G671,0))</f>
        <v>14899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13705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8888628</v>
      </c>
      <c r="D10" s="182">
        <f>ROUND((C10/$C$28)*100,1)</f>
        <v>49.5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2458572</v>
      </c>
      <c r="D11" s="182">
        <f>ROUND((C11/$C$28)*100,1)</f>
        <v>13.7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129856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1377292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1072264</v>
      </c>
      <c r="D16" s="182">
        <f t="shared" si="0"/>
        <v>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521728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938291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1435108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752224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37078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15563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114256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200162.73000000004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17941022.73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404440</v>
      </c>
    </row>
    <row r="30" spans="1:4" x14ac:dyDescent="0.2">
      <c r="B30" s="187" t="s">
        <v>729</v>
      </c>
      <c r="C30" s="180">
        <f>SUM(C28:C29)</f>
        <v>18345462.73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355000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12784272</v>
      </c>
      <c r="D35" s="182">
        <f t="shared" ref="D35:D40" si="1">ROUND((C35/$C$41)*100,1)</f>
        <v>69.8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187003.36999999918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4327237</v>
      </c>
      <c r="D37" s="182">
        <f t="shared" si="1"/>
        <v>23.6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191406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837011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18326929.369999997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Hampton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2013-09-16T16:56:14Z</cp:lastPrinted>
  <dcterms:created xsi:type="dcterms:W3CDTF">1997-12-04T19:04:30Z</dcterms:created>
  <dcterms:modified xsi:type="dcterms:W3CDTF">2013-12-06T14:11:12Z</dcterms:modified>
</cp:coreProperties>
</file>