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390" yWindow="195" windowWidth="21990" windowHeight="113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03" i="1" l="1"/>
  <c r="K530" i="1"/>
  <c r="J520" i="1"/>
  <c r="I520" i="1"/>
  <c r="H520" i="1"/>
  <c r="G520" i="1"/>
  <c r="F520" i="1"/>
  <c r="C11" i="12"/>
  <c r="C10" i="12"/>
  <c r="B10" i="12"/>
  <c r="B11" i="12"/>
  <c r="B12" i="12"/>
  <c r="C20" i="12"/>
  <c r="B20" i="12"/>
  <c r="H275" i="1"/>
  <c r="F275" i="1"/>
  <c r="G530" i="1"/>
  <c r="C21" i="12"/>
  <c r="C12" i="12"/>
  <c r="G202" i="1"/>
  <c r="F530" i="1"/>
  <c r="G458" i="1"/>
  <c r="B21" i="12"/>
  <c r="H197" i="1"/>
  <c r="I202" i="1"/>
  <c r="I201" i="1"/>
  <c r="H206" i="1"/>
  <c r="H203" i="1"/>
  <c r="H202" i="1"/>
  <c r="F202" i="1"/>
  <c r="F201" i="1"/>
  <c r="F109" i="1"/>
  <c r="F12" i="1"/>
  <c r="F366" i="1" l="1"/>
  <c r="I357" i="1"/>
  <c r="H357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C19" i="10" s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C22" i="13" s="1"/>
  <c r="H25" i="13"/>
  <c r="C25" i="13" s="1"/>
  <c r="J650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137" i="2"/>
  <c r="H33" i="13"/>
  <c r="E33" i="13" l="1"/>
  <c r="D35" i="13" s="1"/>
  <c r="C16" i="13"/>
  <c r="J639" i="1"/>
  <c r="F659" i="1"/>
  <c r="F663" i="1" s="1"/>
  <c r="F666" i="1" s="1"/>
  <c r="L256" i="1"/>
  <c r="L270" i="1" s="1"/>
  <c r="G631" i="1" s="1"/>
  <c r="J631" i="1" s="1"/>
  <c r="F671" i="1"/>
  <c r="C4" i="10" s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F33" i="13" s="1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D31" i="13" l="1"/>
  <c r="C31" i="13" s="1"/>
  <c r="G630" i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<sst xmlns="http://schemas.openxmlformats.org/spreadsheetml/2006/main" count="3949" uniqueCount="914">
  <si>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</si>
  <si>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</si>
  <si>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</si>
  <si>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</si>
  <si>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</si>
  <si>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</si>
  <si>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</si>
  <si>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</si>
  <si>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</si>
  <si>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</si>
  <si>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</si>
  <si>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</si>
  <si>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</si>
  <si>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</si>
  <si>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</si>
  <si>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</si>
  <si>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</si>
  <si>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</si>
  <si>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</si>
  <si>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</si>
  <si>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</si>
  <si>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</si>
  <si>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</si>
  <si>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</si>
  <si>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</si>
  <si>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</si>
  <si>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</si>
  <si>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</si>
  <si>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</si>
  <si>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</si>
  <si>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</si>
  <si>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</si>
  <si>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</si>
  <si>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</si>
  <si>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</si>
  <si>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</si>
  <si>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</si>
  <si>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</si>
  <si>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</si>
  <si>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</si>
  <si>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</si>
  <si>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</si>
  <si>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</si>
  <si>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</si>
  <si>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</si>
  <si>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</si>
  <si>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</si>
  <si>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</si>
  <si>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</si>
  <si>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</si>
  <si>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</si>
  <si>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</si>
  <si>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</si>
  <si>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</si>
  <si>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</si>
  <si>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</si>
  <si>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</si>
  <si>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</si>
  <si>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</si>
  <si>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</si>
  <si>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</si>
  <si>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</si>
  <si>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</si>
  <si>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</si>
  <si>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</si>
  <si>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</si>
  <si>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</si>
  <si>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</si>
  <si>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</si>
  <si>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</si>
  <si>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</si>
  <si>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</si>
  <si>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</si>
  <si>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</si>
  <si>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</si>
  <si>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</si>
  <si>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</si>
  <si>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</si>
  <si>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</si>
  <si>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</si>
  <si>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</si>
  <si>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</si>
  <si>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</si>
  <si>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</si>
  <si>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</si>
  <si>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</si>
  <si>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</si>
  <si>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</si>
  <si>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</si>
  <si>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</si>
  <si>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</si>
  <si>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</si>
  <si>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</si>
  <si>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</si>
  <si>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</si>
  <si>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</si>
  <si>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</si>
  <si>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</si>
  <si>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</si>
  <si>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</si>
  <si>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</si>
  <si>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</si>
  <si>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</si>
  <si>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</si>
  <si>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</si>
  <si>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</si>
  <si>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</si>
  <si>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</si>
  <si>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</si>
  <si>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</si>
  <si>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</si>
  <si>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</si>
  <si>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</si>
  <si>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</si>
  <si>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</si>
  <si>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</si>
  <si>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</si>
  <si>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</si>
  <si>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</si>
  <si>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</si>
  <si>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</si>
  <si>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</si>
  <si>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</si>
  <si>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</si>
  <si>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</si>
  <si>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</si>
  <si>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</si>
  <si>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</si>
  <si>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</si>
  <si>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</si>
  <si>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</si>
  <si>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</si>
  <si>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</si>
  <si>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</si>
  <si>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</si>
  <si>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</si>
  <si>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</si>
  <si>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</si>
  <si>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</si>
  <si>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</si>
  <si>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</si>
  <si>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</si>
  <si>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</si>
  <si>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</si>
  <si>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</si>
  <si>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</si>
  <si>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</si>
  <si>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</si>
  <si>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</si>
  <si>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</si>
  <si>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</si>
  <si>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</si>
  <si>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</si>
  <si>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</si>
  <si>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</si>
  <si>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</si>
  <si>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</si>
  <si>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</si>
  <si>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</si>
  <si>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</si>
  <si>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</si>
  <si>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</si>
  <si>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</si>
  <si>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</si>
  <si>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</si>
  <si>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</si>
  <si>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</si>
  <si>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</si>
  <si>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</si>
  <si>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</si>
  <si>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</si>
  <si>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</si>
  <si>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</si>
  <si>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</si>
  <si>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</si>
  <si>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</si>
  <si>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</si>
  <si>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</si>
  <si>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</si>
  <si>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</si>
  <si>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</si>
  <si>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</si>
  <si>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</si>
  <si>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</si>
  <si>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</si>
  <si>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</si>
  <si>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</si>
  <si>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</si>
  <si>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</si>
  <si>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</si>
  <si>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</si>
  <si>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</si>
  <si>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</si>
  <si>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</si>
  <si>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</si>
  <si>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</si>
  <si>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</si>
  <si>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</si>
  <si>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</si>
  <si>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</si>
  <si>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</si>
  <si>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</si>
  <si>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</si>
  <si>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</si>
  <si>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</si>
  <si>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</si>
  <si>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</si>
  <si>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</si>
  <si>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</si>
  <si>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</si>
  <si>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</si>
  <si>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</si>
  <si>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</si>
  <si>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</si>
  <si>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</si>
  <si>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</si>
  <si>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</si>
  <si>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</si>
  <si>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</si>
  <si>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</si>
  <si>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</si>
  <si>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</si>
  <si>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</si>
  <si>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</si>
  <si>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</si>
  <si>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</si>
  <si>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</si>
  <si>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</si>
  <si>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</si>
  <si>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</si>
  <si>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</si>
  <si>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</si>
  <si>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</si>
  <si>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</si>
  <si>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</si>
  <si>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</si>
  <si>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</si>
  <si>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</si>
  <si>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</si>
  <si>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</si>
  <si>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</si>
  <si>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</si>
  <si>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</si>
  <si>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</si>
  <si>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</si>
  <si>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</si>
  <si>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</si>
  <si>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</si>
  <si>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</si>
  <si>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</si>
  <si>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</si>
  <si>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</si>
  <si>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</si>
  <si>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</si>
  <si>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</si>
  <si>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</si>
  <si>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</si>
  <si>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</si>
  <si>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</si>
  <si>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</si>
  <si>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</si>
  <si>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</si>
  <si>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</si>
  <si>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</si>
  <si>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</si>
  <si>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</si>
  <si>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</si>
  <si>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</si>
  <si>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</si>
  <si>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</si>
  <si>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</si>
  <si>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</si>
  <si>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</si>
  <si>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</si>
  <si>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</si>
  <si>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</si>
  <si>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</si>
  <si>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</si>
  <si>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</si>
  <si>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</si>
  <si>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</si>
  <si>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</si>
  <si>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</si>
  <si>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</si>
  <si>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</si>
  <si>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</si>
  <si>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</si>
  <si>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</si>
  <si>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</si>
  <si>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</si>
  <si>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</si>
  <si>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</si>
  <si>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</si>
  <si>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</si>
  <si>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</si>
  <si>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</si>
  <si>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</si>
  <si>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</si>
  <si>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</si>
  <si>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</si>
  <si>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</si>
  <si>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</si>
  <si>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</si>
  <si>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</si>
  <si>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</si>
  <si>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</si>
  <si>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</si>
  <si>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</si>
  <si>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</si>
  <si>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</si>
  <si>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</si>
  <si>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</si>
  <si>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</si>
  <si>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</si>
  <si>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</si>
  <si>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</si>
  <si>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</si>
  <si>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</si>
  <si>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</si>
  <si>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</si>
  <si>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</si>
  <si>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</si>
  <si>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</si>
  <si>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</si>
  <si>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</si>
  <si>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</si>
  <si>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</si>
  <si>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</si>
  <si>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</si>
  <si>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</si>
  <si>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</si>
  <si>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</si>
  <si>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</si>
  <si>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</si>
  <si>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</si>
  <si>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</si>
  <si>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</si>
  <si>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</si>
  <si>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</si>
  <si>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</si>
  <si>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</si>
  <si>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</si>
  <si>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</si>
  <si>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</si>
  <si>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</si>
  <si>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</si>
  <si>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</si>
  <si>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</si>
  <si>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</si>
  <si>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</si>
  <si>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</si>
  <si>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</si>
  <si>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</si>
  <si>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</si>
  <si>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</si>
  <si>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</si>
  <si>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</si>
  <si>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</si>
  <si>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</si>
  <si>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</si>
  <si>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</si>
  <si>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</si>
  <si>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</si>
  <si>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</si>
  <si>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</si>
  <si>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</si>
  <si>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</si>
  <si>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</si>
  <si>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</si>
  <si>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</si>
  <si>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</si>
  <si>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</si>
  <si>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</si>
  <si>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</si>
  <si>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</si>
  <si>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</si>
  <si>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</si>
  <si>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</si>
  <si>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</si>
  <si>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</si>
  <si>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</si>
  <si>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</si>
  <si>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</si>
  <si>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</si>
  <si>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</si>
  <si>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</si>
  <si>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</si>
  <si>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</si>
  <si>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</si>
  <si>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</si>
  <si>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</si>
  <si>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</si>
  <si>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</si>
  <si>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</si>
  <si>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</si>
  <si>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</si>
  <si>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</si>
  <si>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</si>
  <si>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</si>
  <si>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</si>
  <si>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</si>
  <si>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</si>
  <si>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</si>
  <si>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</si>
  <si>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</si>
  <si>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</si>
  <si>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</si>
  <si>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</si>
  <si>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</si>
  <si>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</si>
  <si>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</si>
  <si>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</si>
  <si>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</si>
  <si>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</si>
  <si>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</si>
  <si>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</si>
  <si>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</si>
  <si>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</si>
  <si>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</si>
  <si>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</si>
  <si>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</si>
  <si>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</si>
  <si>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</si>
  <si>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</si>
  <si>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</si>
  <si>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</si>
  <si>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</si>
  <si>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</si>
  <si>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</si>
  <si>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</si>
  <si>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</si>
  <si>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</si>
  <si>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</si>
  <si>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</si>
  <si>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</si>
  <si>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</si>
  <si>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</si>
  <si>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</si>
  <si>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</si>
  <si>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</si>
  <si>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</si>
  <si>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</si>
  <si>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</si>
  <si>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</si>
  <si>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</si>
  <si>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</si>
  <si>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</si>
  <si>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</si>
  <si>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</si>
  <si>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</si>
  <si>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</si>
  <si>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</si>
  <si>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</si>
  <si>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</si>
  <si>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</si>
  <si>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</si>
  <si>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</si>
  <si>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</si>
  <si>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</si>
  <si>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</si>
  <si>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</si>
  <si>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</si>
  <si>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</si>
  <si>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</si>
  <si>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</si>
  <si>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</si>
  <si>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</si>
  <si>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</si>
  <si>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</si>
  <si>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</si>
  <si>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</si>
  <si>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</si>
  <si>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</si>
  <si>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</si>
  <si>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</si>
  <si>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</si>
  <si>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</si>
  <si>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</si>
  <si>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</si>
  <si>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</si>
  <si>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</si>
  <si>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</si>
  <si>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</si>
  <si>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</si>
  <si>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</si>
  <si>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</si>
  <si>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</si>
  <si>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</si>
  <si>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</si>
  <si>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</si>
  <si>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</si>
  <si>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</si>
  <si>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</si>
  <si>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</si>
  <si>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</si>
  <si>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</si>
  <si>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</si>
  <si>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</si>
  <si>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</si>
  <si>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</si>
  <si>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</si>
  <si>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</si>
  <si>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</si>
  <si>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</si>
  <si>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</si>
  <si>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</si>
  <si>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</si>
  <si>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</si>
  <si>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</si>
  <si>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</si>
  <si>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</si>
  <si>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</si>
  <si>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</si>
  <si>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</si>
  <si>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</si>
  <si>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</si>
  <si>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</si>
  <si>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</si>
  <si>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</si>
  <si>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</si>
  <si>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</si>
  <si>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</si>
  <si>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</si>
  <si>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</si>
  <si>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</si>
  <si>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</si>
  <si>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</si>
  <si>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</si>
  <si>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</si>
  <si>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</si>
  <si>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</si>
  <si>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</si>
  <si>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</si>
  <si>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</si>
  <si>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</si>
  <si>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</si>
  <si>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</si>
  <si>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</si>
  <si>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</si>
  <si>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</si>
  <si>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</si>
  <si>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</si>
  <si>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</si>
  <si>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</si>
  <si>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</si>
  <si>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</si>
  <si>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</si>
  <si>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</si>
  <si>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</si>
  <si>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</si>
  <si>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</si>
  <si>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</si>
  <si>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</si>
  <si>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</si>
  <si>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</si>
  <si>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</si>
  <si>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</si>
  <si>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</si>
  <si>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</si>
  <si>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</si>
  <si>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</si>
  <si>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</si>
  <si>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</si>
  <si>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</si>
  <si>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</si>
  <si>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</si>
  <si>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</si>
  <si>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</si>
  <si>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</si>
  <si>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</si>
  <si>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</si>
  <si>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</si>
  <si>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</si>
  <si>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</si>
  <si>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</si>
  <si>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</si>
  <si>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</si>
  <si>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</si>
  <si>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</si>
  <si>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</si>
  <si>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</si>
  <si>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</si>
  <si>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</si>
  <si>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</si>
  <si>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</si>
  <si>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</si>
  <si>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</si>
  <si>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</si>
  <si>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</si>
  <si>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</si>
  <si>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</si>
  <si>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</si>
  <si>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</si>
  <si>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</si>
  <si>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</si>
  <si>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</si>
  <si>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</si>
  <si>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</si>
  <si>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</si>
  <si>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</si>
  <si>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</si>
  <si>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</si>
  <si>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</si>
  <si>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</si>
  <si>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</si>
  <si>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</si>
  <si>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</si>
  <si>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</si>
  <si>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</si>
  <si>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</si>
  <si>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</si>
  <si>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</si>
  <si>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</si>
  <si>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</si>
  <si>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</si>
  <si>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</si>
  <si>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</si>
  <si>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</si>
  <si>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</si>
  <si>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</si>
  <si>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</si>
  <si>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</si>
  <si>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</si>
  <si>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</si>
  <si>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</si>
  <si>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</si>
  <si>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</si>
  <si>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</si>
  <si>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</si>
  <si>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</si>
  <si>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</si>
  <si>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</si>
  <si>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</si>
  <si>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</si>
  <si>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</si>
  <si>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</si>
  <si>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</si>
  <si>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</si>
  <si>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</si>
  <si>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</si>
  <si>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</si>
  <si>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</si>
  <si>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</si>
  <si>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</si>
  <si>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</si>
  <si>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</si>
  <si>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</si>
  <si>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</si>
  <si>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</si>
  <si>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</si>
  <si>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</si>
  <si>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</si>
  <si>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</si>
  <si>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</si>
  <si>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</si>
  <si>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</si>
  <si>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</si>
  <si>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</si>
  <si>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</si>
  <si>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</si>
  <si>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</si>
  <si>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</si>
  <si>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</si>
  <si>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</si>
  <si>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</si>
  <si>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</si>
  <si>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</si>
  <si>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</si>
  <si>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</si>
  <si>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</si>
  <si>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</si>
  <si>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</si>
  <si>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</si>
  <si>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</si>
  <si>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</si>
  <si>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</si>
  <si>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</si>
  <si>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</si>
  <si>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</si>
  <si>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</si>
  <si>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</si>
  <si>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</si>
  <si>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</si>
  <si>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</si>
  <si>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</si>
  <si>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</si>
  <si>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</si>
  <si>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</si>
  <si>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</si>
  <si>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</si>
  <si>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</si>
  <si>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</si>
  <si>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</si>
  <si>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</si>
  <si>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</si>
  <si>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</si>
  <si>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</si>
  <si>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</si>
  <si>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</si>
  <si>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</si>
  <si>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</si>
  <si>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</si>
  <si>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</si>
  <si>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</si>
  <si>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</si>
  <si>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</si>
  <si>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</si>
  <si>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</si>
  <si>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</si>
  <si>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</si>
  <si>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</si>
  <si>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</si>
  <si>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</si>
  <si>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</si>
  <si>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</si>
  <si>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</si>
  <si>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</si>
  <si>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</si>
  <si>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</si>
  <si>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</si>
  <si>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</si>
  <si>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</si>
  <si>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</si>
  <si>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</si>
  <si>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</si>
  <si>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</si>
  <si>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</si>
  <si>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</si>
  <si>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</si>
  <si>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</si>
  <si>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</si>
  <si>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</si>
  <si>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</si>
  <si>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</si>
  <si>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</si>
  <si>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</si>
  <si>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</si>
  <si>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</si>
  <si>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</si>
  <si>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</si>
  <si>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</si>
  <si>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</si>
  <si>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</si>
  <si>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</si>
  <si>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</si>
  <si>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</si>
  <si>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</si>
  <si>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</si>
  <si>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</si>
  <si>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</si>
  <si>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</si>
  <si>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</si>
  <si>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</si>
  <si>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</si>
  <si>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</si>
  <si>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</si>
  <si>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</si>
  <si>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</si>
  <si>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</si>
  <si>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</si>
  <si>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</si>
  <si>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</si>
  <si>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</si>
  <si>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</si>
  <si>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</si>
  <si>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</si>
  <si>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</si>
  <si>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</si>
  <si>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</si>
  <si>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</si>
  <si>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</si>
  <si>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</si>
  <si>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</si>
  <si>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</si>
  <si>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</si>
  <si>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</si>
  <si>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</si>
  <si>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</si>
  <si>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</si>
  <si>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</si>
  <si>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</si>
  <si>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</si>
  <si>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</si>
  <si>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</si>
  <si>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</si>
  <si>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</si>
  <si>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</si>
  <si>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</si>
  <si>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</si>
  <si>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</si>
  <si>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</si>
  <si>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</si>
  <si>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</si>
  <si>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</si>
  <si>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</si>
  <si>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</si>
  <si>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</si>
  <si>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</si>
  <si>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</si>
  <si>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</si>
  <si>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</si>
  <si>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</si>
  <si>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</si>
  <si>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</si>
  <si>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</si>
  <si>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</si>
  <si>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</si>
  <si>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</si>
  <si>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</si>
  <si>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</si>
  <si>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</si>
  <si>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</si>
  <si>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</si>
  <si>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</si>
  <si>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</si>
  <si>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</si>
  <si>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</si>
  <si>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</si>
  <si>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</si>
  <si>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</si>
  <si>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</si>
  <si>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</si>
  <si>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</si>
  <si>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</si>
  <si>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</si>
  <si>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</si>
  <si>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</si>
  <si>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</si>
  <si>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</si>
  <si>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</si>
  <si>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</si>
  <si>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</si>
  <si>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</si>
  <si>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</si>
  <si>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</si>
  <si>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</si>
  <si>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</si>
  <si>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</si>
  <si>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</si>
  <si>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</si>
  <si>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</si>
  <si>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</si>
  <si>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</si>
  <si>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</si>
  <si>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</si>
  <si>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</si>
  <si>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</si>
  <si>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</si>
  <si>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</si>
  <si>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</si>
  <si>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</si>
  <si>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</si>
  <si>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</si>
  <si>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</si>
  <si>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</si>
  <si>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</si>
  <si>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</si>
  <si>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</si>
  <si>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</si>
  <si>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</si>
  <si>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</si>
  <si>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</si>
  <si>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</si>
  <si>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</si>
  <si>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</si>
  <si>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</si>
  <si>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</si>
  <si>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</si>
  <si>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</si>
  <si>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</si>
  <si>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</si>
  <si>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</si>
  <si>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</si>
  <si>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</si>
  <si>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</si>
  <si>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</si>
  <si>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</si>
  <si>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</si>
  <si>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</si>
  <si>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</si>
  <si>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</si>
  <si>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</si>
  <si>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</si>
  <si>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</si>
  <si>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</si>
  <si>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</si>
  <si>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</si>
  <si>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</si>
  <si>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</si>
  <si>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</si>
  <si>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</si>
  <si>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</si>
  <si>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</si>
  <si>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</si>
  <si>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</si>
  <si>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</si>
  <si>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</si>
  <si>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</si>
  <si>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</si>
  <si>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</si>
  <si>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</si>
  <si>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</si>
  <si>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</si>
  <si>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</si>
  <si>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</si>
  <si>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</si>
  <si>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</si>
  <si>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</si>
  <si>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</si>
  <si>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HAMPTON FALLS</t>
  </si>
  <si>
    <t>August 2004</t>
  </si>
  <si>
    <t>August 2024</t>
  </si>
  <si>
    <t>Negative amount in Other Income is for Fair Market Value Loss</t>
  </si>
  <si>
    <t>Fair Market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</si>
</sst>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227</v>
      </c>
      <c r="C2" s="21">
        <v>227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332171.84999999998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228.98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9908.56+758.99</f>
        <v>10667.55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1342.02</v>
      </c>
      <c r="G13" s="18">
        <v>3290.76</v>
      </c>
      <c r="H13" s="18">
        <v>9479.5499999999993</v>
      </c>
      <c r="I13" s="18"/>
      <c r="J13" s="67">
        <f>SUM(I441)</f>
        <v>25714.87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3678.81</v>
      </c>
      <c r="G14" s="18">
        <v>75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v>429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348089.20999999996</v>
      </c>
      <c r="G19" s="41">
        <f>SUM(G9:G18)</f>
        <v>3365.76</v>
      </c>
      <c r="H19" s="41">
        <f>SUM(H9:H18)</f>
        <v>9908.5499999999993</v>
      </c>
      <c r="I19" s="41">
        <f>SUM(I9:I18)</f>
        <v>0</v>
      </c>
      <c r="J19" s="41">
        <f>SUM(J9:J18)</f>
        <v>25714.87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758.99</v>
      </c>
      <c r="H22" s="18">
        <v>9908.5499999999993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16574.93</v>
      </c>
      <c r="G24" s="18">
        <v>119.2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19942.189999999999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23401</v>
      </c>
      <c r="G30" s="18">
        <v>2283.1799999999998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59918.119999999995</v>
      </c>
      <c r="G32" s="41">
        <f>SUM(G22:G31)</f>
        <v>3161.37</v>
      </c>
      <c r="H32" s="41">
        <f>SUM(H22:H31)</f>
        <v>9908.5499999999993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204.39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22319.57</v>
      </c>
      <c r="G47" s="18"/>
      <c r="H47" s="18"/>
      <c r="I47" s="18"/>
      <c r="J47" s="13">
        <f>SUM(I458)</f>
        <v>25714.87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50565.69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190285.83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288171.08999999997</v>
      </c>
      <c r="G50" s="41">
        <f>SUM(G35:G49)</f>
        <v>204.39</v>
      </c>
      <c r="H50" s="41">
        <f>SUM(H35:H49)</f>
        <v>0</v>
      </c>
      <c r="I50" s="41">
        <f>SUM(I35:I49)</f>
        <v>0</v>
      </c>
      <c r="J50" s="41">
        <f>SUM(J35:J49)</f>
        <v>25714.87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348089.20999999996</v>
      </c>
      <c r="G51" s="41">
        <f>G50+G32</f>
        <v>3365.7599999999998</v>
      </c>
      <c r="H51" s="41">
        <f>H50+H32</f>
        <v>9908.5499999999993</v>
      </c>
      <c r="I51" s="41">
        <f>I50+I32</f>
        <v>0</v>
      </c>
      <c r="J51" s="41">
        <f>J50+J32</f>
        <v>25714.87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4257715.4000000004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4257715.4000000004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8.09</v>
      </c>
      <c r="G95" s="18"/>
      <c r="H95" s="18"/>
      <c r="I95" s="18"/>
      <c r="J95" s="18">
        <v>455.5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76024.97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38825.06+9623</f>
        <v>48448.06</v>
      </c>
      <c r="G109" s="18"/>
      <c r="H109" s="18"/>
      <c r="I109" s="18"/>
      <c r="J109" s="18">
        <v>-1275.1099999999999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48456.149999999994</v>
      </c>
      <c r="G110" s="41">
        <f>SUM(G95:G109)</f>
        <v>76024.97</v>
      </c>
      <c r="H110" s="41">
        <f>SUM(H95:H109)</f>
        <v>0</v>
      </c>
      <c r="I110" s="41">
        <f>SUM(I95:I109)</f>
        <v>0</v>
      </c>
      <c r="J110" s="41">
        <f>SUM(J95:J109)</f>
        <v>-819.6099999999999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4306171.5500000007</v>
      </c>
      <c r="G111" s="41">
        <f>G59+G110</f>
        <v>76024.97</v>
      </c>
      <c r="H111" s="41">
        <f>H59+H78+H93+H110</f>
        <v>0</v>
      </c>
      <c r="I111" s="41">
        <f>I59+I110</f>
        <v>0</v>
      </c>
      <c r="J111" s="41">
        <f>J59+J110</f>
        <v>-819.6099999999999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100076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733460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833536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1274.9000000000001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1274.9000000000001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833536</v>
      </c>
      <c r="G139" s="41">
        <f>G120+SUM(G135:G136)</f>
        <v>1274.9000000000001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11482.17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7298.12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16033.03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59968.97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23784.16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6433.46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23784.16</v>
      </c>
      <c r="G161" s="41">
        <f>SUM(G149:G160)</f>
        <v>22466.49</v>
      </c>
      <c r="H161" s="41">
        <f>SUM(H149:H160)</f>
        <v>78749.260000000009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23784.16</v>
      </c>
      <c r="G168" s="41">
        <f>G146+G161+SUM(G162:G167)</f>
        <v>22466.49</v>
      </c>
      <c r="H168" s="41">
        <f>H146+H161+SUM(H162:H167)</f>
        <v>78749.260000000009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14000</v>
      </c>
      <c r="H178" s="18"/>
      <c r="I178" s="18"/>
      <c r="J178" s="18">
        <v>25000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14000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14000</v>
      </c>
      <c r="H191" s="41">
        <f>+H182+SUM(H187:H190)</f>
        <v>0</v>
      </c>
      <c r="I191" s="41">
        <f>I176+I182+SUM(I187:I190)</f>
        <v>0</v>
      </c>
      <c r="J191" s="41">
        <f>J182</f>
        <v>25000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5163491.7100000009</v>
      </c>
      <c r="G192" s="47">
        <f>G111+G139+G168+G191</f>
        <v>113766.36</v>
      </c>
      <c r="H192" s="47">
        <f>H111+H139+H168+H191</f>
        <v>78749.260000000009</v>
      </c>
      <c r="I192" s="47">
        <f>I111+I139+I168+I191</f>
        <v>0</v>
      </c>
      <c r="J192" s="47">
        <f>J111+J139+J191</f>
        <v>24180.39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1503771.43</v>
      </c>
      <c r="G196" s="18">
        <v>644883.32999999996</v>
      </c>
      <c r="H196" s="18">
        <v>11218.76</v>
      </c>
      <c r="I196" s="18">
        <v>52518.59</v>
      </c>
      <c r="J196" s="18">
        <v>3838.9</v>
      </c>
      <c r="K196" s="18"/>
      <c r="L196" s="19">
        <f>SUM(F196:K196)</f>
        <v>2216231.0099999993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640094.15</v>
      </c>
      <c r="G197" s="18">
        <v>251078.03</v>
      </c>
      <c r="H197" s="18">
        <f>193531.83-100</f>
        <v>193431.83</v>
      </c>
      <c r="I197" s="18">
        <v>864.49</v>
      </c>
      <c r="J197" s="18">
        <v>1252.8399999999999</v>
      </c>
      <c r="K197" s="18">
        <v>1106.5</v>
      </c>
      <c r="L197" s="19">
        <f>SUM(F197:K197)</f>
        <v>1087827.8400000001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29824</v>
      </c>
      <c r="G199" s="18">
        <v>2475.39</v>
      </c>
      <c r="H199" s="18">
        <v>7492.5</v>
      </c>
      <c r="I199" s="18">
        <v>3968.24</v>
      </c>
      <c r="J199" s="18">
        <v>1125.1500000000001</v>
      </c>
      <c r="K199" s="18"/>
      <c r="L199" s="19">
        <f>SUM(F199:K199)</f>
        <v>44885.279999999999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34423.4+56862</f>
        <v>91285.4</v>
      </c>
      <c r="G201" s="18">
        <v>36761.57</v>
      </c>
      <c r="H201" s="18">
        <v>60</v>
      </c>
      <c r="I201" s="18">
        <f>427.37+1736.77</f>
        <v>2164.14</v>
      </c>
      <c r="J201" s="18"/>
      <c r="K201" s="18">
        <v>50</v>
      </c>
      <c r="L201" s="19">
        <f t="shared" ref="L201:L207" si="0">SUM(F201:K201)</f>
        <v>130321.11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8150+47345.84+59972</f>
        <v>115467.84</v>
      </c>
      <c r="G202" s="18">
        <f>7673.25+61006.08</f>
        <v>68679.33</v>
      </c>
      <c r="H202" s="18">
        <f>8398.56+13.39+11069.97</f>
        <v>19481.919999999998</v>
      </c>
      <c r="I202" s="18">
        <f>8973.91+9336.28</f>
        <v>18310.190000000002</v>
      </c>
      <c r="J202" s="18">
        <v>19398.150000000001</v>
      </c>
      <c r="K202" s="18"/>
      <c r="L202" s="19">
        <f t="shared" si="0"/>
        <v>241337.42999999996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16498</v>
      </c>
      <c r="G203" s="18">
        <v>1262.0999999999999</v>
      </c>
      <c r="H203" s="18">
        <f>23373.33+101965</f>
        <v>125338.33</v>
      </c>
      <c r="I203" s="18"/>
      <c r="J203" s="18"/>
      <c r="K203" s="18">
        <v>4539.41</v>
      </c>
      <c r="L203" s="19">
        <f t="shared" si="0"/>
        <v>147637.84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134299.79999999999</v>
      </c>
      <c r="G204" s="18">
        <v>54970.75</v>
      </c>
      <c r="H204" s="18">
        <v>3403.78</v>
      </c>
      <c r="I204" s="18">
        <v>2036.57</v>
      </c>
      <c r="J204" s="18"/>
      <c r="K204" s="18">
        <v>960</v>
      </c>
      <c r="L204" s="19">
        <f t="shared" si="0"/>
        <v>195670.9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134207.19</v>
      </c>
      <c r="G206" s="18">
        <v>53755.78</v>
      </c>
      <c r="H206" s="18">
        <f>53200.9+28088.65</f>
        <v>81289.55</v>
      </c>
      <c r="I206" s="18">
        <v>91061.54</v>
      </c>
      <c r="J206" s="18">
        <v>56355.18</v>
      </c>
      <c r="K206" s="18"/>
      <c r="L206" s="19">
        <f t="shared" si="0"/>
        <v>416669.24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186822.75</v>
      </c>
      <c r="I207" s="18"/>
      <c r="J207" s="18"/>
      <c r="K207" s="18"/>
      <c r="L207" s="19">
        <f t="shared" si="0"/>
        <v>186822.75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>
        <v>456.5</v>
      </c>
      <c r="L208" s="19">
        <f>SUM(F208:K208)</f>
        <v>456.5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2665447.8099999996</v>
      </c>
      <c r="G210" s="41">
        <f t="shared" si="1"/>
        <v>1113866.28</v>
      </c>
      <c r="H210" s="41">
        <f t="shared" si="1"/>
        <v>628539.42000000004</v>
      </c>
      <c r="I210" s="41">
        <f t="shared" si="1"/>
        <v>170923.76</v>
      </c>
      <c r="J210" s="41">
        <f t="shared" si="1"/>
        <v>81970.22</v>
      </c>
      <c r="K210" s="41">
        <f t="shared" si="1"/>
        <v>7112.41</v>
      </c>
      <c r="L210" s="41">
        <f t="shared" si="1"/>
        <v>4667859.8999999994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326851.8</v>
      </c>
      <c r="I254" s="18"/>
      <c r="J254" s="18">
        <v>48764.17</v>
      </c>
      <c r="K254" s="18"/>
      <c r="L254" s="19">
        <f t="shared" si="6"/>
        <v>375615.97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326851.8</v>
      </c>
      <c r="I255" s="41">
        <f t="shared" si="7"/>
        <v>0</v>
      </c>
      <c r="J255" s="41">
        <f t="shared" si="7"/>
        <v>48764.17</v>
      </c>
      <c r="K255" s="41">
        <f t="shared" si="7"/>
        <v>0</v>
      </c>
      <c r="L255" s="41">
        <f>SUM(F255:K255)</f>
        <v>375615.97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2665447.8099999996</v>
      </c>
      <c r="G256" s="41">
        <f t="shared" si="8"/>
        <v>1113866.28</v>
      </c>
      <c r="H256" s="41">
        <f t="shared" si="8"/>
        <v>955391.22</v>
      </c>
      <c r="I256" s="41">
        <f t="shared" si="8"/>
        <v>170923.76</v>
      </c>
      <c r="J256" s="41">
        <f t="shared" si="8"/>
        <v>130734.39</v>
      </c>
      <c r="K256" s="41">
        <f t="shared" si="8"/>
        <v>7112.41</v>
      </c>
      <c r="L256" s="41">
        <f t="shared" si="8"/>
        <v>5043475.8699999992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50000</v>
      </c>
      <c r="L259" s="19">
        <f>SUM(F259:K259)</f>
        <v>50000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41521.5</v>
      </c>
      <c r="L260" s="19">
        <f>SUM(F260:K260)</f>
        <v>41521.5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14000</v>
      </c>
      <c r="L262" s="19">
        <f>SUM(F262:K262)</f>
        <v>14000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130521.5</v>
      </c>
      <c r="L269" s="41">
        <f t="shared" si="9"/>
        <v>130521.5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2665447.8099999996</v>
      </c>
      <c r="G270" s="42">
        <f t="shared" si="11"/>
        <v>1113866.28</v>
      </c>
      <c r="H270" s="42">
        <f t="shared" si="11"/>
        <v>955391.22</v>
      </c>
      <c r="I270" s="42">
        <f t="shared" si="11"/>
        <v>170923.76</v>
      </c>
      <c r="J270" s="42">
        <f t="shared" si="11"/>
        <v>130734.39</v>
      </c>
      <c r="K270" s="42">
        <f t="shared" si="11"/>
        <v>137633.91</v>
      </c>
      <c r="L270" s="42">
        <f t="shared" si="11"/>
        <v>5173997.3699999992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2528+150+705+731.25+8810</f>
        <v>12924.25</v>
      </c>
      <c r="G275" s="18">
        <v>1296.24</v>
      </c>
      <c r="H275" s="18">
        <f>1955.2-429</f>
        <v>1526.2</v>
      </c>
      <c r="I275" s="18">
        <v>71.41</v>
      </c>
      <c r="J275" s="18">
        <v>2788</v>
      </c>
      <c r="K275" s="18"/>
      <c r="L275" s="19">
        <f>SUM(F275:K275)</f>
        <v>18606.099999999999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13959</v>
      </c>
      <c r="G276" s="18">
        <v>1257.4100000000001</v>
      </c>
      <c r="H276" s="18">
        <v>21288.16</v>
      </c>
      <c r="I276" s="18">
        <v>5585.76</v>
      </c>
      <c r="J276" s="18">
        <v>17299.04</v>
      </c>
      <c r="K276" s="18"/>
      <c r="L276" s="19">
        <f>SUM(F276:K276)</f>
        <v>59389.37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753.79</v>
      </c>
      <c r="L282" s="19">
        <f t="shared" si="12"/>
        <v>753.79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26883.25</v>
      </c>
      <c r="G289" s="42">
        <f t="shared" si="13"/>
        <v>2553.65</v>
      </c>
      <c r="H289" s="42">
        <f t="shared" si="13"/>
        <v>22814.36</v>
      </c>
      <c r="I289" s="42">
        <f t="shared" si="13"/>
        <v>5657.17</v>
      </c>
      <c r="J289" s="42">
        <f t="shared" si="13"/>
        <v>20087.04</v>
      </c>
      <c r="K289" s="42">
        <f t="shared" si="13"/>
        <v>753.79</v>
      </c>
      <c r="L289" s="41">
        <f t="shared" si="13"/>
        <v>78749.259999999995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26883.25</v>
      </c>
      <c r="G337" s="41">
        <f t="shared" si="20"/>
        <v>2553.65</v>
      </c>
      <c r="H337" s="41">
        <f t="shared" si="20"/>
        <v>22814.36</v>
      </c>
      <c r="I337" s="41">
        <f t="shared" si="20"/>
        <v>5657.17</v>
      </c>
      <c r="J337" s="41">
        <f t="shared" si="20"/>
        <v>20087.04</v>
      </c>
      <c r="K337" s="41">
        <f t="shared" si="20"/>
        <v>753.79</v>
      </c>
      <c r="L337" s="41">
        <f t="shared" si="20"/>
        <v>78749.259999999995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26883.25</v>
      </c>
      <c r="G351" s="41">
        <f>G337</f>
        <v>2553.65</v>
      </c>
      <c r="H351" s="41">
        <f>H337</f>
        <v>22814.36</v>
      </c>
      <c r="I351" s="41">
        <f>I337</f>
        <v>5657.17</v>
      </c>
      <c r="J351" s="41">
        <f>J337</f>
        <v>20087.04</v>
      </c>
      <c r="K351" s="47">
        <f>K337+K350</f>
        <v>753.79</v>
      </c>
      <c r="L351" s="41">
        <f>L337+L350</f>
        <v>78749.259999999995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63966.02</v>
      </c>
      <c r="G357" s="18"/>
      <c r="H357" s="18">
        <f>1245.99</f>
        <v>1245.99</v>
      </c>
      <c r="I357" s="18">
        <f>2164.69+39134.27+6433.46</f>
        <v>47732.42</v>
      </c>
      <c r="J357" s="18">
        <v>500</v>
      </c>
      <c r="K357" s="18">
        <v>1267.25</v>
      </c>
      <c r="L357" s="13">
        <f>SUM(F357:K357)</f>
        <v>114711.67999999999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63966.02</v>
      </c>
      <c r="G361" s="47">
        <f t="shared" si="22"/>
        <v>0</v>
      </c>
      <c r="H361" s="47">
        <f t="shared" si="22"/>
        <v>1245.99</v>
      </c>
      <c r="I361" s="47">
        <f t="shared" si="22"/>
        <v>47732.42</v>
      </c>
      <c r="J361" s="47">
        <f t="shared" si="22"/>
        <v>500</v>
      </c>
      <c r="K361" s="47">
        <f t="shared" si="22"/>
        <v>1267.25</v>
      </c>
      <c r="L361" s="47">
        <f t="shared" si="22"/>
        <v>114711.67999999999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39134.27+6433.46</f>
        <v>45567.729999999996</v>
      </c>
      <c r="G366" s="18"/>
      <c r="H366" s="18"/>
      <c r="I366" s="56">
        <f>SUM(F366:H366)</f>
        <v>45567.729999999996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2164.69</v>
      </c>
      <c r="G367" s="63"/>
      <c r="H367" s="63"/>
      <c r="I367" s="56">
        <f>SUM(F367:H367)</f>
        <v>2164.69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47732.42</v>
      </c>
      <c r="G368" s="47">
        <f>SUM(G366:G367)</f>
        <v>0</v>
      </c>
      <c r="H368" s="47">
        <f>SUM(H366:H367)</f>
        <v>0</v>
      </c>
      <c r="I368" s="47">
        <f>SUM(I366:I367)</f>
        <v>47732.42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455.5</v>
      </c>
      <c r="I396" s="18">
        <v>-1275.1099999999999</v>
      </c>
      <c r="J396" s="24" t="s">
        <v>289</v>
      </c>
      <c r="K396" s="24" t="s">
        <v>289</v>
      </c>
      <c r="L396" s="56">
        <f t="shared" si="26"/>
        <v>24180.39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455.5</v>
      </c>
      <c r="I400" s="47">
        <f>SUM(I394:I399)</f>
        <v>-1275.1099999999999</v>
      </c>
      <c r="J400" s="45" t="s">
        <v>289</v>
      </c>
      <c r="K400" s="45" t="s">
        <v>289</v>
      </c>
      <c r="L400" s="47">
        <f>SUM(L394:L399)</f>
        <v>24180.39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455.5</v>
      </c>
      <c r="I407" s="47">
        <f>I392+I400+I406</f>
        <v>-1275.1099999999999</v>
      </c>
      <c r="J407" s="24" t="s">
        <v>289</v>
      </c>
      <c r="K407" s="24" t="s">
        <v>289</v>
      </c>
      <c r="L407" s="47">
        <f>L392+L400+L406</f>
        <v>24180.39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25714.87</v>
      </c>
      <c r="H441" s="18"/>
      <c r="I441" s="56">
        <f t="shared" si="33"/>
        <v>25714.87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25714.87</v>
      </c>
      <c r="H445" s="13">
        <f>SUM(H438:H444)</f>
        <v>0</v>
      </c>
      <c r="I445" s="13">
        <f>SUM(I438:I444)</f>
        <v>25714.87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24180.39+1534.48</f>
        <v>25714.87</v>
      </c>
      <c r="H458" s="18"/>
      <c r="I458" s="56">
        <f t="shared" si="34"/>
        <v>25714.87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25714.87</v>
      </c>
      <c r="H459" s="83">
        <f>SUM(H453:H458)</f>
        <v>0</v>
      </c>
      <c r="I459" s="83">
        <f>SUM(I453:I458)</f>
        <v>25714.87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25714.87</v>
      </c>
      <c r="H460" s="42">
        <f>H451+H459</f>
        <v>0</v>
      </c>
      <c r="I460" s="42">
        <f>I451+I459</f>
        <v>25714.87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298676.75</v>
      </c>
      <c r="G464" s="18">
        <v>1149.71</v>
      </c>
      <c r="H464" s="18">
        <v>0</v>
      </c>
      <c r="I464" s="18"/>
      <c r="J464" s="18">
        <v>1534.48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5163491.71</v>
      </c>
      <c r="G467" s="18">
        <v>113766.36</v>
      </c>
      <c r="H467" s="18">
        <v>78749.259999999995</v>
      </c>
      <c r="I467" s="18"/>
      <c r="J467" s="18">
        <v>24180.39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5163491.71</v>
      </c>
      <c r="G469" s="53">
        <f>SUM(G467:G468)</f>
        <v>113766.36</v>
      </c>
      <c r="H469" s="53">
        <f>SUM(H467:H468)</f>
        <v>78749.259999999995</v>
      </c>
      <c r="I469" s="53">
        <f>SUM(I467:I468)</f>
        <v>0</v>
      </c>
      <c r="J469" s="53">
        <f>SUM(J467:J468)</f>
        <v>24180.39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5173997.37</v>
      </c>
      <c r="G471" s="18">
        <v>114711.67999999999</v>
      </c>
      <c r="H471" s="18">
        <v>78749.259999999995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5173997.37</v>
      </c>
      <c r="G473" s="53">
        <f>SUM(G471:G472)</f>
        <v>114711.67999999999</v>
      </c>
      <c r="H473" s="53">
        <f>SUM(H471:H472)</f>
        <v>78749.259999999995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288171.08999999985</v>
      </c>
      <c r="G475" s="53">
        <f>(G464+G469)- G473</f>
        <v>204.39000000001397</v>
      </c>
      <c r="H475" s="53">
        <f>(H464+H469)- H473</f>
        <v>0</v>
      </c>
      <c r="I475" s="53">
        <f>(I464+I469)- I473</f>
        <v>0</v>
      </c>
      <c r="J475" s="53">
        <f>(J464+J469)- J473</f>
        <v>25714.87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913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1468000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885000</v>
      </c>
      <c r="G494" s="18"/>
      <c r="H494" s="18"/>
      <c r="I494" s="18"/>
      <c r="J494" s="18"/>
      <c r="K494" s="53">
        <f>SUM(F494:J494)</f>
        <v>885000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91521.5</v>
      </c>
      <c r="G496" s="18"/>
      <c r="H496" s="18"/>
      <c r="I496" s="18"/>
      <c r="J496" s="18"/>
      <c r="K496" s="53">
        <f t="shared" si="35"/>
        <v>91521.5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835000</v>
      </c>
      <c r="G497" s="204"/>
      <c r="H497" s="204"/>
      <c r="I497" s="204"/>
      <c r="J497" s="204"/>
      <c r="K497" s="205">
        <f t="shared" si="35"/>
        <v>835000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251856.27</v>
      </c>
      <c r="G498" s="18"/>
      <c r="H498" s="18"/>
      <c r="I498" s="18"/>
      <c r="J498" s="18"/>
      <c r="K498" s="53">
        <f t="shared" si="35"/>
        <v>251856.27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1086856.27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1086856.27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50000</v>
      </c>
      <c r="G500" s="204"/>
      <c r="H500" s="204"/>
      <c r="I500" s="204"/>
      <c r="J500" s="204"/>
      <c r="K500" s="205">
        <f t="shared" si="35"/>
        <v>50000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39021.5</v>
      </c>
      <c r="G501" s="18"/>
      <c r="H501" s="18"/>
      <c r="I501" s="18"/>
      <c r="J501" s="18"/>
      <c r="K501" s="53">
        <f t="shared" si="35"/>
        <v>39021.5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89021.5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89021.5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279918.86+73949.96+181489.75+13959</f>
        <v>549317.57000000007</v>
      </c>
      <c r="G520" s="18">
        <f>251078.03-32037.71+1257.41</f>
        <v>220297.73</v>
      </c>
      <c r="H520" s="18">
        <f>193531.83-49.07-100+21288.16</f>
        <v>214670.91999999998</v>
      </c>
      <c r="I520" s="18">
        <f>864.49+5585.76</f>
        <v>6450.25</v>
      </c>
      <c r="J520" s="18">
        <f>1252.84+17299.04</f>
        <v>18551.88</v>
      </c>
      <c r="K520" s="18"/>
      <c r="L520" s="88">
        <f>SUM(F520:K520)</f>
        <v>1009288.35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549317.57000000007</v>
      </c>
      <c r="G523" s="108">
        <f t="shared" ref="G523:L523" si="36">SUM(G520:G522)</f>
        <v>220297.73</v>
      </c>
      <c r="H523" s="108">
        <f t="shared" si="36"/>
        <v>214670.91999999998</v>
      </c>
      <c r="I523" s="108">
        <f t="shared" si="36"/>
        <v>6450.25</v>
      </c>
      <c r="J523" s="108">
        <f t="shared" si="36"/>
        <v>18551.88</v>
      </c>
      <c r="K523" s="108">
        <f t="shared" si="36"/>
        <v>0</v>
      </c>
      <c r="L523" s="89">
        <f t="shared" si="36"/>
        <v>1009288.35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84275+20460.58</f>
        <v>104735.58</v>
      </c>
      <c r="G530" s="18">
        <f>26934.29+5103.42</f>
        <v>32037.71</v>
      </c>
      <c r="H530" s="18"/>
      <c r="I530" s="18"/>
      <c r="J530" s="18"/>
      <c r="K530" s="18">
        <f>1106.5+753.79</f>
        <v>1860.29</v>
      </c>
      <c r="L530" s="88">
        <f>SUM(F530:K530)</f>
        <v>138633.58000000002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104735.58</v>
      </c>
      <c r="G533" s="89">
        <f t="shared" ref="G533:L533" si="38">SUM(G530:G532)</f>
        <v>32037.71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1860.29</v>
      </c>
      <c r="L533" s="89">
        <f t="shared" si="38"/>
        <v>138633.58000000002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49.07</v>
      </c>
      <c r="I535" s="18"/>
      <c r="J535" s="18"/>
      <c r="K535" s="18"/>
      <c r="L535" s="88">
        <f>SUM(F535:K535)</f>
        <v>49.07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49.07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49.07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4030</v>
      </c>
      <c r="I540" s="18"/>
      <c r="J540" s="18"/>
      <c r="K540" s="18"/>
      <c r="L540" s="88">
        <f>SUM(F540:K540)</f>
        <v>4030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4030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4030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654053.15</v>
      </c>
      <c r="G544" s="89">
        <f t="shared" ref="G544:L544" si="41">G523+G528+G533+G538+G543</f>
        <v>252335.44</v>
      </c>
      <c r="H544" s="89">
        <f t="shared" si="41"/>
        <v>218749.99</v>
      </c>
      <c r="I544" s="89">
        <f t="shared" si="41"/>
        <v>6450.25</v>
      </c>
      <c r="J544" s="89">
        <f t="shared" si="41"/>
        <v>18551.88</v>
      </c>
      <c r="K544" s="89">
        <f t="shared" si="41"/>
        <v>1860.29</v>
      </c>
      <c r="L544" s="89">
        <f t="shared" si="41"/>
        <v>1152001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1009288.35</v>
      </c>
      <c r="G548" s="87">
        <f>L525</f>
        <v>0</v>
      </c>
      <c r="H548" s="87">
        <f>L530</f>
        <v>138633.58000000002</v>
      </c>
      <c r="I548" s="87">
        <f>L535</f>
        <v>49.07</v>
      </c>
      <c r="J548" s="87">
        <f>L540</f>
        <v>4030</v>
      </c>
      <c r="K548" s="87">
        <f>SUM(F548:J548)</f>
        <v>1152001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1009288.35</v>
      </c>
      <c r="G551" s="89">
        <f t="shared" si="42"/>
        <v>0</v>
      </c>
      <c r="H551" s="89">
        <f t="shared" si="42"/>
        <v>138633.58000000002</v>
      </c>
      <c r="I551" s="89">
        <f t="shared" si="42"/>
        <v>49.07</v>
      </c>
      <c r="J551" s="89">
        <f t="shared" si="42"/>
        <v>4030</v>
      </c>
      <c r="K551" s="89">
        <f t="shared" si="42"/>
        <v>1152001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15550.73</v>
      </c>
      <c r="G582" s="18"/>
      <c r="H582" s="18"/>
      <c r="I582" s="87">
        <f t="shared" si="47"/>
        <v>15550.73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174821</v>
      </c>
      <c r="I590" s="18"/>
      <c r="J590" s="18"/>
      <c r="K590" s="104">
        <f t="shared" ref="K590:K596" si="48">SUM(H590:J590)</f>
        <v>174821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4030</v>
      </c>
      <c r="I591" s="18"/>
      <c r="J591" s="18"/>
      <c r="K591" s="104">
        <f t="shared" si="48"/>
        <v>4030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5052.1000000000004</v>
      </c>
      <c r="I593" s="18"/>
      <c r="J593" s="18"/>
      <c r="K593" s="104">
        <f t="shared" si="48"/>
        <v>5052.1000000000004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2919.65</v>
      </c>
      <c r="I594" s="18"/>
      <c r="J594" s="18"/>
      <c r="K594" s="104">
        <f t="shared" si="48"/>
        <v>2919.65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186822.75</v>
      </c>
      <c r="I597" s="108">
        <f>SUM(I590:I596)</f>
        <v>0</v>
      </c>
      <c r="J597" s="108">
        <f>SUM(J590:J596)</f>
        <v>0</v>
      </c>
      <c r="K597" s="108">
        <f>SUM(K590:K596)</f>
        <v>186822.75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44904.39</v>
      </c>
      <c r="I602" s="18"/>
      <c r="J602" s="18"/>
      <c r="K602" s="104">
        <f>SUM(H602:J602)</f>
        <v>44904.39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81970.22-44904.39+20087.04</f>
        <v>57152.87</v>
      </c>
      <c r="I603" s="18"/>
      <c r="J603" s="18"/>
      <c r="K603" s="104">
        <f>SUM(H603:J603)</f>
        <v>57152.87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102057.26000000001</v>
      </c>
      <c r="I604" s="108">
        <f>SUM(I601:I603)</f>
        <v>0</v>
      </c>
      <c r="J604" s="108">
        <f>SUM(J601:J603)</f>
        <v>0</v>
      </c>
      <c r="K604" s="108">
        <f>SUM(K601:K603)</f>
        <v>102057.26000000001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348089.20999999996</v>
      </c>
      <c r="H616" s="109">
        <f>SUM(F51)</f>
        <v>348089.20999999996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3365.76</v>
      </c>
      <c r="H617" s="109">
        <f>SUM(G51)</f>
        <v>3365.7599999999998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9908.5499999999993</v>
      </c>
      <c r="H618" s="109">
        <f>SUM(H51)</f>
        <v>9908.5499999999993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25714.87</v>
      </c>
      <c r="H620" s="109">
        <f>SUM(J51)</f>
        <v>25714.87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288171.08999999997</v>
      </c>
      <c r="H621" s="109">
        <f>F475</f>
        <v>288171.08999999985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204.39</v>
      </c>
      <c r="H622" s="109">
        <f>G475</f>
        <v>204.39000000001397</v>
      </c>
      <c r="I622" s="121" t="s">
        <v>102</v>
      </c>
      <c r="J622" s="109">
        <f t="shared" si="50"/>
        <v>-1.3983481039758772E-11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25714.87</v>
      </c>
      <c r="H625" s="109">
        <f>J475</f>
        <v>25714.87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5163491.7100000009</v>
      </c>
      <c r="H626" s="104">
        <f>SUM(F467)</f>
        <v>5163491.71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113766.36</v>
      </c>
      <c r="H627" s="104">
        <f>SUM(G467)</f>
        <v>113766.36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78749.260000000009</v>
      </c>
      <c r="H628" s="104">
        <f>SUM(H467)</f>
        <v>78749.259999999995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24180.39</v>
      </c>
      <c r="H630" s="104">
        <f>SUM(J467)</f>
        <v>24180.39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5173997.3699999992</v>
      </c>
      <c r="H631" s="104">
        <f>SUM(F471)</f>
        <v>5173997.37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78749.259999999995</v>
      </c>
      <c r="H632" s="104">
        <f>SUM(H471)</f>
        <v>78749.259999999995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47732.42</v>
      </c>
      <c r="H633" s="104">
        <f>I368</f>
        <v>47732.42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114711.67999999999</v>
      </c>
      <c r="H634" s="104">
        <f>SUM(G471)</f>
        <v>114711.67999999999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24180.39</v>
      </c>
      <c r="H636" s="164">
        <f>SUM(J467)</f>
        <v>24180.39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25714.87</v>
      </c>
      <c r="H639" s="104">
        <f>SUM(G460)</f>
        <v>25714.87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25714.87</v>
      </c>
      <c r="H641" s="104">
        <f>SUM(I460)</f>
        <v>25714.87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455.5</v>
      </c>
      <c r="H643" s="104">
        <f>H407</f>
        <v>455.5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24180.39</v>
      </c>
      <c r="H645" s="104">
        <f>L407</f>
        <v>24180.39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186822.75</v>
      </c>
      <c r="H646" s="104">
        <f>L207+L225+L243</f>
        <v>186822.75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102057.26000000001</v>
      </c>
      <c r="H647" s="104">
        <f>(J256+J337)-(J254+J335)</f>
        <v>102057.26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186822.75</v>
      </c>
      <c r="H648" s="104">
        <f>H597</f>
        <v>186822.75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14000</v>
      </c>
      <c r="H651" s="104">
        <f>K262+K344</f>
        <v>14000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4861320.8399999989</v>
      </c>
      <c r="G659" s="19">
        <f>(L228+L308+L358)</f>
        <v>0</v>
      </c>
      <c r="H659" s="19">
        <f>(L246+L327+L359)</f>
        <v>0</v>
      </c>
      <c r="I659" s="19">
        <f>SUM(F659:H659)</f>
        <v>4861320.8399999989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76024.97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76024.97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186822.75</v>
      </c>
      <c r="G661" s="19">
        <f>(L225+L305)-(J225+J305)</f>
        <v>0</v>
      </c>
      <c r="H661" s="19">
        <f>(L243+L324)-(J243+J324)</f>
        <v>0</v>
      </c>
      <c r="I661" s="19">
        <f>SUM(F661:H661)</f>
        <v>186822.75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117607.99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117607.99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4480865.129999999</v>
      </c>
      <c r="G663" s="19">
        <f>G659-SUM(G660:G662)</f>
        <v>0</v>
      </c>
      <c r="H663" s="19">
        <f>H659-SUM(H660:H662)</f>
        <v>0</v>
      </c>
      <c r="I663" s="19">
        <f>I659-SUM(I660:I662)</f>
        <v>4480865.129999999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261.99</v>
      </c>
      <c r="G664" s="248"/>
      <c r="H664" s="248"/>
      <c r="I664" s="19">
        <f>SUM(F664:H664)</f>
        <v>261.99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17103.189999999999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17103.189999999999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17103.189999999999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17103.189999999999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HAMPTON FALLS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1516695.68</v>
      </c>
      <c r="C9" s="229">
        <f>'DOE25'!G196+'DOE25'!G214+'DOE25'!G232+'DOE25'!G275+'DOE25'!G294+'DOE25'!G313</f>
        <v>646179.56999999995</v>
      </c>
    </row>
    <row r="10" spans="1:3" x14ac:dyDescent="0.2">
      <c r="A10" t="s">
        <v>779</v>
      </c>
      <c r="B10" s="240">
        <f>1413898.48+705+8810</f>
        <v>1423413.48</v>
      </c>
      <c r="C10" s="240">
        <f>617132.72+65.41+2.47+3.1+729.93+110.88+30.83+38.76</f>
        <v>618114.1</v>
      </c>
    </row>
    <row r="11" spans="1:3" x14ac:dyDescent="0.2">
      <c r="A11" t="s">
        <v>780</v>
      </c>
      <c r="B11" s="240">
        <f>20256.99+2528</f>
        <v>22784.99</v>
      </c>
      <c r="C11" s="240">
        <f>22087.87+193.41+121.44</f>
        <v>22402.719999999998</v>
      </c>
    </row>
    <row r="12" spans="1:3" x14ac:dyDescent="0.2">
      <c r="A12" t="s">
        <v>781</v>
      </c>
      <c r="B12" s="240">
        <f>11925+57690.96+150+731.25</f>
        <v>70497.209999999992</v>
      </c>
      <c r="C12" s="240">
        <f>989.78+4672.97</f>
        <v>5662.75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1516695.68</v>
      </c>
      <c r="C13" s="231">
        <f>SUM(C10:C12)</f>
        <v>646179.56999999995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654053.15</v>
      </c>
      <c r="C18" s="229">
        <f>'DOE25'!G197+'DOE25'!G215+'DOE25'!G233+'DOE25'!G276+'DOE25'!G295+'DOE25'!G314</f>
        <v>252335.44</v>
      </c>
    </row>
    <row r="19" spans="1:3" x14ac:dyDescent="0.2">
      <c r="A19" t="s">
        <v>779</v>
      </c>
      <c r="B19" s="240">
        <v>279918.86</v>
      </c>
      <c r="C19" s="240">
        <v>95607.8</v>
      </c>
    </row>
    <row r="20" spans="1:3" x14ac:dyDescent="0.2">
      <c r="A20" t="s">
        <v>780</v>
      </c>
      <c r="B20" s="240">
        <f>181489.75+13959</f>
        <v>195448.75</v>
      </c>
      <c r="C20" s="240">
        <f>31913.41+91519.11+1257.41</f>
        <v>124689.93000000001</v>
      </c>
    </row>
    <row r="21" spans="1:3" x14ac:dyDescent="0.2">
      <c r="A21" t="s">
        <v>781</v>
      </c>
      <c r="B21" s="240">
        <f>84275+73949.96+20460.58</f>
        <v>178685.54000000004</v>
      </c>
      <c r="C21" s="240">
        <f>26934.29+5103.42</f>
        <v>32037.71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654053.15</v>
      </c>
      <c r="C22" s="231">
        <f>SUM(C19:C21)</f>
        <v>252335.44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29824</v>
      </c>
      <c r="C36" s="235">
        <f>'DOE25'!G199+'DOE25'!G217+'DOE25'!G235+'DOE25'!G278+'DOE25'!G297+'DOE25'!G316</f>
        <v>2475.39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29824</v>
      </c>
      <c r="C39" s="240">
        <v>2475.39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29824</v>
      </c>
      <c r="C40" s="231">
        <f>SUM(C37:C39)</f>
        <v>2475.39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HAMPTON FALLS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3348944.1299999994</v>
      </c>
      <c r="D5" s="20">
        <f>SUM('DOE25'!L196:L199)+SUM('DOE25'!L214:L217)+SUM('DOE25'!L232:L235)-F5-G5</f>
        <v>3341620.7399999993</v>
      </c>
      <c r="E5" s="243"/>
      <c r="F5" s="255">
        <f>SUM('DOE25'!J196:J199)+SUM('DOE25'!J214:J217)+SUM('DOE25'!J232:J235)</f>
        <v>6216.8899999999994</v>
      </c>
      <c r="G5" s="53">
        <f>SUM('DOE25'!K196:K199)+SUM('DOE25'!K214:K217)+SUM('DOE25'!K232:K235)</f>
        <v>1106.5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130321.11</v>
      </c>
      <c r="D6" s="20">
        <f>'DOE25'!L201+'DOE25'!L219+'DOE25'!L237-F6-G6</f>
        <v>130271.11</v>
      </c>
      <c r="E6" s="243"/>
      <c r="F6" s="255">
        <f>'DOE25'!J201+'DOE25'!J219+'DOE25'!J237</f>
        <v>0</v>
      </c>
      <c r="G6" s="53">
        <f>'DOE25'!K201+'DOE25'!K219+'DOE25'!K237</f>
        <v>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241337.42999999996</v>
      </c>
      <c r="D7" s="20">
        <f>'DOE25'!L202+'DOE25'!L220+'DOE25'!L238-F7-G7</f>
        <v>221939.27999999997</v>
      </c>
      <c r="E7" s="243"/>
      <c r="F7" s="255">
        <f>'DOE25'!J202+'DOE25'!J220+'DOE25'!J238</f>
        <v>19398.150000000001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71167.340000000011</v>
      </c>
      <c r="D8" s="243"/>
      <c r="E8" s="20">
        <f>'DOE25'!L203+'DOE25'!L221+'DOE25'!L239-F8-G8-D9-D11</f>
        <v>66627.930000000008</v>
      </c>
      <c r="F8" s="255">
        <f>'DOE25'!J203+'DOE25'!J221+'DOE25'!J239</f>
        <v>0</v>
      </c>
      <c r="G8" s="53">
        <f>'DOE25'!K203+'DOE25'!K221+'DOE25'!K239</f>
        <v>4539.41</v>
      </c>
      <c r="H8" s="259"/>
    </row>
    <row r="9" spans="1:9" x14ac:dyDescent="0.2">
      <c r="A9" s="32">
        <v>2310</v>
      </c>
      <c r="B9" t="s">
        <v>818</v>
      </c>
      <c r="C9" s="245">
        <f t="shared" si="0"/>
        <v>44410.74</v>
      </c>
      <c r="D9" s="244">
        <v>44410.74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8897.5</v>
      </c>
      <c r="D10" s="243"/>
      <c r="E10" s="244">
        <v>8897.5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32059.759999999998</v>
      </c>
      <c r="D11" s="244">
        <v>32059.759999999998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195670.9</v>
      </c>
      <c r="D12" s="20">
        <f>'DOE25'!L204+'DOE25'!L222+'DOE25'!L240-F12-G12</f>
        <v>194710.9</v>
      </c>
      <c r="E12" s="243"/>
      <c r="F12" s="255">
        <f>'DOE25'!J204+'DOE25'!J222+'DOE25'!J240</f>
        <v>0</v>
      </c>
      <c r="G12" s="53">
        <f>'DOE25'!K204+'DOE25'!K222+'DOE25'!K240</f>
        <v>960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416669.24</v>
      </c>
      <c r="D14" s="20">
        <f>'DOE25'!L206+'DOE25'!L224+'DOE25'!L242-F14-G14</f>
        <v>360314.06</v>
      </c>
      <c r="E14" s="243"/>
      <c r="F14" s="255">
        <f>'DOE25'!J206+'DOE25'!J224+'DOE25'!J242</f>
        <v>56355.18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186822.75</v>
      </c>
      <c r="D15" s="20">
        <f>'DOE25'!L207+'DOE25'!L225+'DOE25'!L243-F15-G15</f>
        <v>186822.75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456.5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456.5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375615.97</v>
      </c>
      <c r="D22" s="243"/>
      <c r="E22" s="243"/>
      <c r="F22" s="255">
        <f>'DOE25'!L254+'DOE25'!L335</f>
        <v>375615.97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91521.5</v>
      </c>
      <c r="D25" s="243"/>
      <c r="E25" s="243"/>
      <c r="F25" s="258"/>
      <c r="G25" s="256"/>
      <c r="H25" s="257">
        <f>'DOE25'!L259+'DOE25'!L260+'DOE25'!L340+'DOE25'!L341</f>
        <v>91521.5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69143.95</v>
      </c>
      <c r="D29" s="20">
        <f>'DOE25'!L357+'DOE25'!L358+'DOE25'!L359-'DOE25'!I366-F29-G29</f>
        <v>67376.7</v>
      </c>
      <c r="E29" s="243"/>
      <c r="F29" s="255">
        <f>'DOE25'!J357+'DOE25'!J358+'DOE25'!J359</f>
        <v>500</v>
      </c>
      <c r="G29" s="53">
        <f>'DOE25'!K357+'DOE25'!K358+'DOE25'!K359</f>
        <v>1267.25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78749.259999999995</v>
      </c>
      <c r="D31" s="20">
        <f>'DOE25'!L289+'DOE25'!L308+'DOE25'!L327+'DOE25'!L332+'DOE25'!L333+'DOE25'!L334-F31-G31</f>
        <v>57908.429999999993</v>
      </c>
      <c r="E31" s="243"/>
      <c r="F31" s="255">
        <f>'DOE25'!J289+'DOE25'!J308+'DOE25'!J327+'DOE25'!J332+'DOE25'!J333+'DOE25'!J334</f>
        <v>20087.04</v>
      </c>
      <c r="G31" s="53">
        <f>'DOE25'!K289+'DOE25'!K308+'DOE25'!K327+'DOE25'!K332+'DOE25'!K333+'DOE25'!K334</f>
        <v>753.79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4637434.4699999988</v>
      </c>
      <c r="E33" s="246">
        <f>SUM(E5:E31)</f>
        <v>75525.430000000008</v>
      </c>
      <c r="F33" s="246">
        <f>SUM(F5:F31)</f>
        <v>478173.22999999992</v>
      </c>
      <c r="G33" s="246">
        <f>SUM(G5:G31)</f>
        <v>9133.4500000000007</v>
      </c>
      <c r="H33" s="246">
        <f>SUM(H5:H31)</f>
        <v>91521.5</v>
      </c>
    </row>
    <row r="35" spans="2:8" ht="12" thickBot="1" x14ac:dyDescent="0.25">
      <c r="B35" s="253" t="s">
        <v>847</v>
      </c>
      <c r="D35" s="254">
        <f>E33</f>
        <v>75525.430000000008</v>
      </c>
      <c r="E35" s="249"/>
    </row>
    <row r="36" spans="2:8" ht="12" thickTop="1" x14ac:dyDescent="0.2">
      <c r="B36" t="s">
        <v>815</v>
      </c>
      <c r="D36" s="20">
        <f>D33</f>
        <v>4637434.4699999988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FALLS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332171.84999999998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228.98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10667.55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1342.02</v>
      </c>
      <c r="D12" s="95">
        <f>'DOE25'!G13</f>
        <v>3290.76</v>
      </c>
      <c r="E12" s="95">
        <f>'DOE25'!H13</f>
        <v>9479.5499999999993</v>
      </c>
      <c r="F12" s="95">
        <f>'DOE25'!I13</f>
        <v>0</v>
      </c>
      <c r="G12" s="95">
        <f>'DOE25'!J13</f>
        <v>25714.87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3678.81</v>
      </c>
      <c r="D13" s="95">
        <f>'DOE25'!G14</f>
        <v>75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429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348089.20999999996</v>
      </c>
      <c r="D18" s="41">
        <f>SUM(D8:D17)</f>
        <v>3365.76</v>
      </c>
      <c r="E18" s="41">
        <f>SUM(E8:E17)</f>
        <v>9908.5499999999993</v>
      </c>
      <c r="F18" s="41">
        <f>SUM(F8:F17)</f>
        <v>0</v>
      </c>
      <c r="G18" s="41">
        <f>SUM(G8:G17)</f>
        <v>25714.87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758.99</v>
      </c>
      <c r="E21" s="95">
        <f>'DOE25'!H22</f>
        <v>9908.5499999999993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16574.93</v>
      </c>
      <c r="D23" s="95">
        <f>'DOE25'!G24</f>
        <v>119.2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19942.189999999999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23401</v>
      </c>
      <c r="D29" s="95">
        <f>'DOE25'!G30</f>
        <v>2283.1799999999998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59918.119999999995</v>
      </c>
      <c r="D31" s="41">
        <f>SUM(D21:D30)</f>
        <v>3161.37</v>
      </c>
      <c r="E31" s="41">
        <f>SUM(E21:E30)</f>
        <v>9908.5499999999993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204.39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22319.57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25714.87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50565.69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190285.83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288171.08999999997</v>
      </c>
      <c r="D49" s="41">
        <f>SUM(D34:D48)</f>
        <v>204.39</v>
      </c>
      <c r="E49" s="41">
        <f>SUM(E34:E48)</f>
        <v>0</v>
      </c>
      <c r="F49" s="41">
        <f>SUM(F34:F48)</f>
        <v>0</v>
      </c>
      <c r="G49" s="41">
        <f>SUM(G34:G48)</f>
        <v>25714.87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348089.20999999996</v>
      </c>
      <c r="D50" s="41">
        <f>D49+D31</f>
        <v>3365.7599999999998</v>
      </c>
      <c r="E50" s="41">
        <f>E49+E31</f>
        <v>9908.5499999999993</v>
      </c>
      <c r="F50" s="41">
        <f>F49+F31</f>
        <v>0</v>
      </c>
      <c r="G50" s="41">
        <f>G49+G31</f>
        <v>25714.87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4257715.4000000004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8.09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455.5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76024.97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48448.06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-1275.1099999999999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48456.149999999994</v>
      </c>
      <c r="D61" s="130">
        <f>SUM(D56:D60)</f>
        <v>76024.97</v>
      </c>
      <c r="E61" s="130">
        <f>SUM(E56:E60)</f>
        <v>0</v>
      </c>
      <c r="F61" s="130">
        <f>SUM(F56:F60)</f>
        <v>0</v>
      </c>
      <c r="G61" s="130">
        <f>SUM(G56:G60)</f>
        <v>-819.6099999999999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4306171.5500000007</v>
      </c>
      <c r="D62" s="22">
        <f>D55+D61</f>
        <v>76024.97</v>
      </c>
      <c r="E62" s="22">
        <f>E55+E61</f>
        <v>0</v>
      </c>
      <c r="F62" s="22">
        <f>F55+F61</f>
        <v>0</v>
      </c>
      <c r="G62" s="22">
        <f>G55+G61</f>
        <v>-819.6099999999999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100076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733460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833536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1274.9000000000001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1274.9000000000001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833536</v>
      </c>
      <c r="D80" s="130">
        <f>SUM(D78:D79)+D77+D69</f>
        <v>1274.9000000000001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23784.16</v>
      </c>
      <c r="D87" s="95">
        <f>SUM('DOE25'!G152:G160)</f>
        <v>22466.49</v>
      </c>
      <c r="E87" s="95">
        <f>SUM('DOE25'!H152:H160)</f>
        <v>78749.260000000009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23784.16</v>
      </c>
      <c r="D90" s="131">
        <f>SUM(D84:D89)</f>
        <v>22466.49</v>
      </c>
      <c r="E90" s="131">
        <f>SUM(E84:E89)</f>
        <v>78749.260000000009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14000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14000</v>
      </c>
      <c r="E102" s="86">
        <f>SUM(E92:E101)</f>
        <v>0</v>
      </c>
      <c r="F102" s="86">
        <f>SUM(F92:F101)</f>
        <v>0</v>
      </c>
      <c r="G102" s="86">
        <f>SUM(G92:G101)</f>
        <v>25000</v>
      </c>
    </row>
    <row r="103" spans="1:7" ht="12.75" thickTop="1" thickBot="1" x14ac:dyDescent="0.25">
      <c r="A103" s="33" t="s">
        <v>765</v>
      </c>
      <c r="C103" s="86">
        <f>C62+C80+C90+C102</f>
        <v>5163491.7100000009</v>
      </c>
      <c r="D103" s="86">
        <f>D62+D80+D90+D102</f>
        <v>113766.36</v>
      </c>
      <c r="E103" s="86">
        <f>E62+E80+E90+E102</f>
        <v>78749.260000000009</v>
      </c>
      <c r="F103" s="86">
        <f>F62+F80+F90+F102</f>
        <v>0</v>
      </c>
      <c r="G103" s="86">
        <f>G62+G80+G102</f>
        <v>24180.39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2216231.0099999993</v>
      </c>
      <c r="D108" s="24" t="s">
        <v>289</v>
      </c>
      <c r="E108" s="95">
        <f>('DOE25'!L275)+('DOE25'!L294)+('DOE25'!L313)</f>
        <v>18606.099999999999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1087827.8400000001</v>
      </c>
      <c r="D109" s="24" t="s">
        <v>289</v>
      </c>
      <c r="E109" s="95">
        <f>('DOE25'!L276)+('DOE25'!L295)+('DOE25'!L314)</f>
        <v>59389.37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44885.279999999999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3348944.1299999994</v>
      </c>
      <c r="D114" s="86">
        <f>SUM(D108:D113)</f>
        <v>0</v>
      </c>
      <c r="E114" s="86">
        <f>SUM(E108:E113)</f>
        <v>77995.47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130321.11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241337.42999999996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147637.84</v>
      </c>
      <c r="D119" s="24" t="s">
        <v>289</v>
      </c>
      <c r="E119" s="95">
        <f>+('DOE25'!L282)+('DOE25'!L301)+('DOE25'!L320)</f>
        <v>753.79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195670.9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416669.24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186822.75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456.5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114711.67999999999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1318915.77</v>
      </c>
      <c r="D127" s="86">
        <f>SUM(D117:D126)</f>
        <v>114711.67999999999</v>
      </c>
      <c r="E127" s="86">
        <f>SUM(E117:E126)</f>
        <v>753.79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375615.97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41521.5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14000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24180.39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819.61000000000058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506137.47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5173997.3699999992</v>
      </c>
      <c r="D144" s="86">
        <f>(D114+D127+D143)</f>
        <v>114711.67999999999</v>
      </c>
      <c r="E144" s="86">
        <f>(E114+E127+E143)</f>
        <v>78749.259999999995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August 2004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August 2024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1468000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885000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885000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91521.5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91521.5</v>
      </c>
    </row>
    <row r="158" spans="1:9" x14ac:dyDescent="0.2">
      <c r="A158" s="22" t="s">
        <v>35</v>
      </c>
      <c r="B158" s="137">
        <f>'DOE25'!F497</f>
        <v>835000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835000</v>
      </c>
    </row>
    <row r="159" spans="1:9" x14ac:dyDescent="0.2">
      <c r="A159" s="22" t="s">
        <v>36</v>
      </c>
      <c r="B159" s="137">
        <f>'DOE25'!F498</f>
        <v>251856.27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251856.27</v>
      </c>
    </row>
    <row r="160" spans="1:9" x14ac:dyDescent="0.2">
      <c r="A160" s="22" t="s">
        <v>37</v>
      </c>
      <c r="B160" s="137">
        <f>'DOE25'!F499</f>
        <v>1086856.27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1086856.27</v>
      </c>
    </row>
    <row r="161" spans="1:7" x14ac:dyDescent="0.2">
      <c r="A161" s="22" t="s">
        <v>38</v>
      </c>
      <c r="B161" s="137">
        <f>'DOE25'!F500</f>
        <v>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50000</v>
      </c>
    </row>
    <row r="162" spans="1:7" x14ac:dyDescent="0.2">
      <c r="A162" s="22" t="s">
        <v>39</v>
      </c>
      <c r="B162" s="137">
        <f>'DOE25'!F501</f>
        <v>39021.5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39021.5</v>
      </c>
    </row>
    <row r="163" spans="1:7" x14ac:dyDescent="0.2">
      <c r="A163" s="22" t="s">
        <v>246</v>
      </c>
      <c r="B163" s="137">
        <f>'DOE25'!F502</f>
        <v>89021.5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89021.5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HAMPTON FALLS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17103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17103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2234837</v>
      </c>
      <c r="D10" s="182">
        <f>ROUND((C10/$C$28)*100,1)</f>
        <v>46.3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1147217</v>
      </c>
      <c r="D11" s="182">
        <f>ROUND((C11/$C$28)*100,1)</f>
        <v>23.8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44885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130321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241337</v>
      </c>
      <c r="D16" s="182">
        <f t="shared" si="0"/>
        <v>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148848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195671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416669</v>
      </c>
      <c r="D20" s="182">
        <f t="shared" si="0"/>
        <v>8.6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186823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41522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38687.03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4826817.03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375616</v>
      </c>
    </row>
    <row r="30" spans="1:4" x14ac:dyDescent="0.2">
      <c r="B30" s="187" t="s">
        <v>729</v>
      </c>
      <c r="C30" s="180">
        <f>SUM(C28:C29)</f>
        <v>5202433.03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4257715</v>
      </c>
      <c r="D35" s="182">
        <f t="shared" ref="D35:D40" si="1">ROUND((C35/$C$41)*100,1)</f>
        <v>80.900000000000006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47636.94000000041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833536</v>
      </c>
      <c r="D37" s="182">
        <f t="shared" si="1"/>
        <v>15.8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1275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125000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5265162.9400000004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HAMPTON FALLS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10</v>
      </c>
      <c r="C5" s="285" t="s">
        <v>912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2013-08-22T18:30:20Z</cp:lastPrinted>
  <dcterms:created xsi:type="dcterms:W3CDTF">1997-12-04T19:04:30Z</dcterms:created>
  <dcterms:modified xsi:type="dcterms:W3CDTF">2013-11-14T16:25:33Z</dcterms:modified>
</cp:coreProperties>
</file>