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B0A" lockStructure="1"/>
  <bookViews>
    <workbookView xWindow="15" yWindow="0" windowWidth="2652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8" i="1" l="1"/>
  <c r="J95" i="1"/>
  <c r="H402" i="1"/>
  <c r="J467" i="1"/>
  <c r="J471" i="1"/>
  <c r="F56" i="1"/>
  <c r="F276" i="1"/>
  <c r="B18" i="12"/>
  <c r="B21" i="12"/>
  <c r="B22" i="12"/>
  <c r="G276" i="1"/>
  <c r="C18" i="12"/>
  <c r="C19" i="12"/>
  <c r="C20" i="12"/>
  <c r="C21" i="12"/>
  <c r="C9" i="12"/>
  <c r="B9" i="12"/>
  <c r="B12" i="12"/>
  <c r="B13" i="12"/>
  <c r="C10" i="12"/>
  <c r="C11" i="12"/>
  <c r="C12" i="12"/>
  <c r="F525" i="1"/>
  <c r="F520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367" i="1"/>
  <c r="F366" i="1"/>
  <c r="H610" i="1"/>
  <c r="G610" i="1"/>
  <c r="F574" i="1"/>
  <c r="F498" i="1"/>
  <c r="I357" i="1"/>
  <c r="H357" i="1"/>
  <c r="G357" i="1"/>
  <c r="F357" i="1"/>
  <c r="G96" i="1"/>
  <c r="H158" i="1"/>
  <c r="H154" i="1"/>
  <c r="F24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C27" i="12"/>
  <c r="B31" i="12"/>
  <c r="C31" i="12"/>
  <c r="C13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D144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/>
  <c r="H616" i="1"/>
  <c r="G50" i="1"/>
  <c r="G51" i="1"/>
  <c r="H617" i="1"/>
  <c r="H50" i="1"/>
  <c r="H51" i="1"/>
  <c r="H618" i="1"/>
  <c r="I50" i="1"/>
  <c r="I51" i="1"/>
  <c r="H619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L336" i="1"/>
  <c r="J337" i="1"/>
  <c r="J351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/>
  <c r="G649" i="1"/>
  <c r="G650" i="1"/>
  <c r="G651" i="1"/>
  <c r="H651" i="1"/>
  <c r="G652" i="1"/>
  <c r="H652" i="1"/>
  <c r="G653" i="1"/>
  <c r="H653" i="1"/>
  <c r="H654" i="1"/>
  <c r="F191" i="1"/>
  <c r="L255" i="1"/>
  <c r="L256" i="1"/>
  <c r="L270" i="1"/>
  <c r="G631" i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/>
  <c r="H663" i="1"/>
  <c r="L350" i="1"/>
  <c r="I661" i="1"/>
  <c r="L289" i="1"/>
  <c r="F659" i="1"/>
  <c r="A31" i="12"/>
  <c r="C69" i="2"/>
  <c r="A40" i="12"/>
  <c r="D12" i="13"/>
  <c r="C12" i="13"/>
  <c r="G161" i="2"/>
  <c r="D61" i="2"/>
  <c r="D62" i="2"/>
  <c r="E49" i="2"/>
  <c r="D18" i="13"/>
  <c r="C18" i="13"/>
  <c r="D15" i="13"/>
  <c r="C15" i="13"/>
  <c r="D7" i="13"/>
  <c r="C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/>
  <c r="F61" i="2"/>
  <c r="F62" i="2"/>
  <c r="D31" i="2"/>
  <c r="C127" i="2"/>
  <c r="C77" i="2"/>
  <c r="C80" i="2"/>
  <c r="D49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/>
  <c r="D19" i="13"/>
  <c r="C19" i="13"/>
  <c r="D14" i="13"/>
  <c r="C14" i="13"/>
  <c r="E13" i="13"/>
  <c r="C13" i="13"/>
  <c r="J616" i="1"/>
  <c r="E77" i="2"/>
  <c r="E80" i="2"/>
  <c r="L426" i="1"/>
  <c r="J256" i="1"/>
  <c r="J270" i="1"/>
  <c r="H111" i="1"/>
  <c r="F111" i="1"/>
  <c r="J640" i="1"/>
  <c r="J638" i="1"/>
  <c r="K604" i="1"/>
  <c r="G647" i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/>
  <c r="H475" i="1"/>
  <c r="H623" i="1"/>
  <c r="J623" i="1"/>
  <c r="F475" i="1"/>
  <c r="H621" i="1"/>
  <c r="J621" i="1"/>
  <c r="I475" i="1"/>
  <c r="H624" i="1"/>
  <c r="J624" i="1"/>
  <c r="G475" i="1"/>
  <c r="H622" i="1"/>
  <c r="J622" i="1"/>
  <c r="G337" i="1"/>
  <c r="G351" i="1"/>
  <c r="F168" i="1"/>
  <c r="J139" i="1"/>
  <c r="F570" i="1"/>
  <c r="H256" i="1"/>
  <c r="H270" i="1"/>
  <c r="F663" i="1"/>
  <c r="F671" i="1"/>
  <c r="C4" i="10" s="1"/>
  <c r="I551" i="1"/>
  <c r="K548" i="1"/>
  <c r="K549" i="1"/>
  <c r="G22" i="2"/>
  <c r="K597" i="1"/>
  <c r="G646" i="1"/>
  <c r="J646" i="1"/>
  <c r="K544" i="1"/>
  <c r="J551" i="1"/>
  <c r="H551" i="1"/>
  <c r="C29" i="10"/>
  <c r="I660" i="1"/>
  <c r="H139" i="1"/>
  <c r="L400" i="1"/>
  <c r="C138" i="2"/>
  <c r="L392" i="1"/>
  <c r="A13" i="12"/>
  <c r="F22" i="13"/>
  <c r="H25" i="13"/>
  <c r="C25" i="13"/>
  <c r="J650" i="1"/>
  <c r="J639" i="1"/>
  <c r="J633" i="1"/>
  <c r="H570" i="1"/>
  <c r="L559" i="1"/>
  <c r="J544" i="1"/>
  <c r="H337" i="1"/>
  <c r="H351" i="1"/>
  <c r="F337" i="1"/>
  <c r="F351" i="1"/>
  <c r="G191" i="1"/>
  <c r="H191" i="1"/>
  <c r="E127" i="2"/>
  <c r="E144" i="2"/>
  <c r="F551" i="1"/>
  <c r="C35" i="10"/>
  <c r="L308" i="1"/>
  <c r="D5" i="13"/>
  <c r="C5" i="13"/>
  <c r="E16" i="13"/>
  <c r="E33" i="13"/>
  <c r="D35" i="13"/>
  <c r="C49" i="2"/>
  <c r="C50" i="2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/>
  <c r="C22" i="13"/>
  <c r="C137" i="2"/>
  <c r="C16" i="13"/>
  <c r="H33" i="13"/>
  <c r="F666" i="1"/>
  <c r="L337" i="1"/>
  <c r="L351" i="1"/>
  <c r="G632" i="1"/>
  <c r="J632" i="1"/>
  <c r="C24" i="10"/>
  <c r="G659" i="1"/>
  <c r="G663" i="1"/>
  <c r="G31" i="13"/>
  <c r="G33" i="13"/>
  <c r="I337" i="1"/>
  <c r="I351" i="1"/>
  <c r="J649" i="1"/>
  <c r="L406" i="1"/>
  <c r="C139" i="2"/>
  <c r="C140" i="2"/>
  <c r="C143" i="2"/>
  <c r="C144" i="2"/>
  <c r="L570" i="1"/>
  <c r="J631" i="1"/>
  <c r="I191" i="1"/>
  <c r="E90" i="2"/>
  <c r="L407" i="1"/>
  <c r="G636" i="1"/>
  <c r="J636" i="1"/>
  <c r="D50" i="2"/>
  <c r="J653" i="1"/>
  <c r="J652" i="1"/>
  <c r="F143" i="2"/>
  <c r="F144" i="2" s="1"/>
  <c r="G21" i="2"/>
  <c r="G31" i="2"/>
  <c r="J32" i="1"/>
  <c r="L433" i="1"/>
  <c r="G637" i="1"/>
  <c r="J637" i="1"/>
  <c r="J433" i="1"/>
  <c r="F433" i="1"/>
  <c r="K433" i="1"/>
  <c r="G133" i="2"/>
  <c r="G143" i="2"/>
  <c r="G144" i="2"/>
  <c r="H666" i="1"/>
  <c r="H671" i="1"/>
  <c r="C6" i="10"/>
  <c r="F31" i="13"/>
  <c r="I659" i="1"/>
  <c r="J192" i="1"/>
  <c r="G645" i="1"/>
  <c r="F103" i="2"/>
  <c r="H192" i="1"/>
  <c r="G628" i="1"/>
  <c r="J628" i="1"/>
  <c r="G168" i="1"/>
  <c r="C39" i="10"/>
  <c r="G139" i="1"/>
  <c r="F139" i="1"/>
  <c r="F192" i="1"/>
  <c r="G626" i="1"/>
  <c r="J626" i="1"/>
  <c r="C36" i="10"/>
  <c r="G62" i="2"/>
  <c r="G103" i="2"/>
  <c r="J617" i="1"/>
  <c r="G666" i="1"/>
  <c r="G671" i="1"/>
  <c r="C5" i="10"/>
  <c r="G42" i="2"/>
  <c r="J50" i="1"/>
  <c r="G16" i="2"/>
  <c r="J19" i="1"/>
  <c r="G620" i="1"/>
  <c r="F33" i="13"/>
  <c r="D31" i="13"/>
  <c r="C31" i="13"/>
  <c r="G18" i="2"/>
  <c r="F544" i="1"/>
  <c r="H433" i="1"/>
  <c r="J619" i="1"/>
  <c r="J618" i="1"/>
  <c r="D102" i="2"/>
  <c r="D103" i="2"/>
  <c r="I139" i="1"/>
  <c r="I192" i="1"/>
  <c r="G629" i="1"/>
  <c r="J629" i="1"/>
  <c r="A22" i="12"/>
  <c r="H645" i="1"/>
  <c r="G49" i="2"/>
  <c r="G50" i="2"/>
  <c r="H647" i="1"/>
  <c r="J647" i="1"/>
  <c r="C103" i="2"/>
  <c r="J651" i="1"/>
  <c r="J641" i="1"/>
  <c r="G570" i="1"/>
  <c r="I433" i="1"/>
  <c r="G433" i="1"/>
  <c r="E103" i="2"/>
  <c r="I662" i="1"/>
  <c r="C27" i="10"/>
  <c r="C28" i="10"/>
  <c r="G634" i="1"/>
  <c r="J634" i="1"/>
  <c r="G630" i="1"/>
  <c r="J630" i="1"/>
  <c r="I663" i="1"/>
  <c r="I671" i="1"/>
  <c r="C7" i="10" s="1"/>
  <c r="D33" i="13"/>
  <c r="D36" i="13"/>
  <c r="J645" i="1"/>
  <c r="G192" i="1"/>
  <c r="G627" i="1"/>
  <c r="J627" i="1"/>
  <c r="G625" i="1"/>
  <c r="J625" i="1"/>
  <c r="J51" i="1"/>
  <c r="H620" i="1"/>
  <c r="J620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/>
  <c r="H655" i="1"/>
  <c r="D28" i="10"/>
  <c r="C41" i="10"/>
  <c r="D3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<sst xmlns="http://schemas.openxmlformats.org/spreadsheetml/2006/main" count="3948" uniqueCount="913">
  <si>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</si>
  <si>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</si>
  <si>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</si>
  <si>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</si>
  <si>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</si>
  <si>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</si>
  <si>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</si>
  <si>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</si>
  <si>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</si>
  <si>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</si>
  <si>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</si>
  <si>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</si>
  <si>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</si>
  <si>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</si>
  <si>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</si>
  <si>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</si>
  <si>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</si>
  <si>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</si>
  <si>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</si>
  <si>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</si>
  <si>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</si>
  <si>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</si>
  <si>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</si>
  <si>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</si>
  <si>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</si>
  <si>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</si>
  <si>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</si>
  <si>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</si>
  <si>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</si>
  <si>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</si>
  <si>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</si>
  <si>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</si>
  <si>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</si>
  <si>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</si>
  <si>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</si>
  <si>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</si>
  <si>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</si>
  <si>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</si>
  <si>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</si>
  <si>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</si>
  <si>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</si>
  <si>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</si>
  <si>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</si>
  <si>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</si>
  <si>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</si>
  <si>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</si>
  <si>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</si>
  <si>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</si>
  <si>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</si>
  <si>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</si>
  <si>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</si>
  <si>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</si>
  <si>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</si>
  <si>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</si>
  <si>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</si>
  <si>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</si>
  <si>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</si>
  <si>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</si>
  <si>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</si>
  <si>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</si>
  <si>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</si>
  <si>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</si>
  <si>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</si>
  <si>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</si>
  <si>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</si>
  <si>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</si>
  <si>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</si>
  <si>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</si>
  <si>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</si>
  <si>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</si>
  <si>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</si>
  <si>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</si>
  <si>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</si>
  <si>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</si>
  <si>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</si>
  <si>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</si>
  <si>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</si>
  <si>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</si>
  <si>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</si>
  <si>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</si>
  <si>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</si>
  <si>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</si>
  <si>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</si>
  <si>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</si>
  <si>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</si>
  <si>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</si>
  <si>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</si>
  <si>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</si>
  <si>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</si>
  <si>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</si>
  <si>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</si>
  <si>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</si>
  <si>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</si>
  <si>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</si>
  <si>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</si>
  <si>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</si>
  <si>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</si>
  <si>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</si>
  <si>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</si>
  <si>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</si>
  <si>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</si>
  <si>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</si>
  <si>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</si>
  <si>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</si>
  <si>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</si>
  <si>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</si>
  <si>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</si>
  <si>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</si>
  <si>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</si>
  <si>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</si>
  <si>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</si>
  <si>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</si>
  <si>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</si>
  <si>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</si>
  <si>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</si>
  <si>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</si>
  <si>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</si>
  <si>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</si>
  <si>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</si>
  <si>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</si>
  <si>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</si>
  <si>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</si>
  <si>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</si>
  <si>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</si>
  <si>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</si>
  <si>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</si>
  <si>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</si>
  <si>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</si>
  <si>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</si>
  <si>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</si>
  <si>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</si>
  <si>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</si>
  <si>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</si>
  <si>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</si>
  <si>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</si>
  <si>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</si>
  <si>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</si>
  <si>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</si>
  <si>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</si>
  <si>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</si>
  <si>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</si>
  <si>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</si>
  <si>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</si>
  <si>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</si>
  <si>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</si>
  <si>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</si>
  <si>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</si>
  <si>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</si>
  <si>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</si>
  <si>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</si>
  <si>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</si>
  <si>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</si>
  <si>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</si>
  <si>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</si>
  <si>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</si>
  <si>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</si>
  <si>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</si>
  <si>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</si>
  <si>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</si>
  <si>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</si>
  <si>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</si>
  <si>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</si>
  <si>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</si>
  <si>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</si>
  <si>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</si>
  <si>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</si>
  <si>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</si>
  <si>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</si>
  <si>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</si>
  <si>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</si>
  <si>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</si>
  <si>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</si>
  <si>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</si>
  <si>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</si>
  <si>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</si>
  <si>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</si>
  <si>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</si>
  <si>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</si>
  <si>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</si>
  <si>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</si>
  <si>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</si>
  <si>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</si>
  <si>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</si>
  <si>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</si>
  <si>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</si>
  <si>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</si>
  <si>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</si>
  <si>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</si>
  <si>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</si>
  <si>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</si>
  <si>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</si>
  <si>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</si>
  <si>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</si>
  <si>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</si>
  <si>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</si>
  <si>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</si>
  <si>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</si>
  <si>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</si>
  <si>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</si>
  <si>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</si>
  <si>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</si>
  <si>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</si>
  <si>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</si>
  <si>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</si>
  <si>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</si>
  <si>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</si>
  <si>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</si>
  <si>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</si>
  <si>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</si>
  <si>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</si>
  <si>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</si>
  <si>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</si>
  <si>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</si>
  <si>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</si>
  <si>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</si>
  <si>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</si>
  <si>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</si>
  <si>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</si>
  <si>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</si>
  <si>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</si>
  <si>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</si>
  <si>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</si>
  <si>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</si>
  <si>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</si>
  <si>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</si>
  <si>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</si>
  <si>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</si>
  <si>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</si>
  <si>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</si>
  <si>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</si>
  <si>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</si>
  <si>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</si>
  <si>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</si>
  <si>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</si>
  <si>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</si>
  <si>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</si>
  <si>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</si>
  <si>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</si>
  <si>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</si>
  <si>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</si>
  <si>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</si>
  <si>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</si>
  <si>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</si>
  <si>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</si>
  <si>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</si>
  <si>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</si>
  <si>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</si>
  <si>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</si>
  <si>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</si>
  <si>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</si>
  <si>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</si>
  <si>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</si>
  <si>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</si>
  <si>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</si>
  <si>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</si>
  <si>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</si>
  <si>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</si>
  <si>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</si>
  <si>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</si>
  <si>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</si>
  <si>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</si>
  <si>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</si>
  <si>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</si>
  <si>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</si>
  <si>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</si>
  <si>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</si>
  <si>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</si>
  <si>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</si>
  <si>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</si>
  <si>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</si>
  <si>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</si>
  <si>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</si>
  <si>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</si>
  <si>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</si>
  <si>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</si>
  <si>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</si>
  <si>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</si>
  <si>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</si>
  <si>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</si>
  <si>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</si>
  <si>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</si>
  <si>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</si>
  <si>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</si>
  <si>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</si>
  <si>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</si>
  <si>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</si>
  <si>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</si>
  <si>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</si>
  <si>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</si>
  <si>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</si>
  <si>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</si>
  <si>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</si>
  <si>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</si>
  <si>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</si>
  <si>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</si>
  <si>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</si>
  <si>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</si>
  <si>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</si>
  <si>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</si>
  <si>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</si>
  <si>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</si>
  <si>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</si>
  <si>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</si>
  <si>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</si>
  <si>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</si>
  <si>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</si>
  <si>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</si>
  <si>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</si>
  <si>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</si>
  <si>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</si>
  <si>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</si>
  <si>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</si>
  <si>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</si>
  <si>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</si>
  <si>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</si>
  <si>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</si>
  <si>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</si>
  <si>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</si>
  <si>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</si>
  <si>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</si>
  <si>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</si>
  <si>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</si>
  <si>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</si>
  <si>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</si>
  <si>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</si>
  <si>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</si>
  <si>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</si>
  <si>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</si>
  <si>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</si>
  <si>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</si>
  <si>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</si>
  <si>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</si>
  <si>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</si>
  <si>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</si>
  <si>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</si>
  <si>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</si>
  <si>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</si>
  <si>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</si>
  <si>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</si>
  <si>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</si>
  <si>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</si>
  <si>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</si>
  <si>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</si>
  <si>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</si>
  <si>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</si>
  <si>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</si>
  <si>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</si>
  <si>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</si>
  <si>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</si>
  <si>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</si>
  <si>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</si>
  <si>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</si>
  <si>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</si>
  <si>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</si>
  <si>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</si>
  <si>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</si>
  <si>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</si>
  <si>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</si>
  <si>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</si>
  <si>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</si>
  <si>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</si>
  <si>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</si>
  <si>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</si>
  <si>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</si>
  <si>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</si>
  <si>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</si>
  <si>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</si>
  <si>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</si>
  <si>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</si>
  <si>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</si>
  <si>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</si>
  <si>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</si>
  <si>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</si>
  <si>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</si>
  <si>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</si>
  <si>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</si>
  <si>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</si>
  <si>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</si>
  <si>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</si>
  <si>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</si>
  <si>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</si>
  <si>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</si>
  <si>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</si>
  <si>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</si>
  <si>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</si>
  <si>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</si>
  <si>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</si>
  <si>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</si>
  <si>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</si>
  <si>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</si>
  <si>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</si>
  <si>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</si>
  <si>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</si>
  <si>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</si>
  <si>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</si>
  <si>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</si>
  <si>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</si>
  <si>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</si>
  <si>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</si>
  <si>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</si>
  <si>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</si>
  <si>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</si>
  <si>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</si>
  <si>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</si>
  <si>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</si>
  <si>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</si>
  <si>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</si>
  <si>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</si>
  <si>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</si>
  <si>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</si>
  <si>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</si>
  <si>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</si>
  <si>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</si>
  <si>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</si>
  <si>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</si>
  <si>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</si>
  <si>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</si>
  <si>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</si>
  <si>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</si>
  <si>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</si>
  <si>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</si>
  <si>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</si>
  <si>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</si>
  <si>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</si>
  <si>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</si>
  <si>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</si>
  <si>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</si>
  <si>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</si>
  <si>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</si>
  <si>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</si>
  <si>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</si>
  <si>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</si>
  <si>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</si>
  <si>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</si>
  <si>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</si>
  <si>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</si>
  <si>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</si>
  <si>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</si>
  <si>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</si>
  <si>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</si>
  <si>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</si>
  <si>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</si>
  <si>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</si>
  <si>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</si>
  <si>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</si>
  <si>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</si>
  <si>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</si>
  <si>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</si>
  <si>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</si>
  <si>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</si>
  <si>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</si>
  <si>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</si>
  <si>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</si>
  <si>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</si>
  <si>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</si>
  <si>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</si>
  <si>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</si>
  <si>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</si>
  <si>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</si>
  <si>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</si>
  <si>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</si>
  <si>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</si>
  <si>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</si>
  <si>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</si>
  <si>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</si>
  <si>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</si>
  <si>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</si>
  <si>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</si>
  <si>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</si>
  <si>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</si>
  <si>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</si>
  <si>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</si>
  <si>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</si>
  <si>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</si>
  <si>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</si>
  <si>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</si>
  <si>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</si>
  <si>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</si>
  <si>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</si>
  <si>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</si>
  <si>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</si>
  <si>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</si>
  <si>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</si>
  <si>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</si>
  <si>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</si>
  <si>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</si>
  <si>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</si>
  <si>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</si>
  <si>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</si>
  <si>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</si>
  <si>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</si>
  <si>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</si>
  <si>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</si>
  <si>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</si>
  <si>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</si>
  <si>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</si>
  <si>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</si>
  <si>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</si>
  <si>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</si>
  <si>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</si>
  <si>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</si>
  <si>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</si>
  <si>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</si>
  <si>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</si>
  <si>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</si>
  <si>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</si>
  <si>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</si>
  <si>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</si>
  <si>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</si>
  <si>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</si>
  <si>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</si>
  <si>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</si>
  <si>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</si>
  <si>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</si>
  <si>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</si>
  <si>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</si>
  <si>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</si>
  <si>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</si>
  <si>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</si>
  <si>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</si>
  <si>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</si>
  <si>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</si>
  <si>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</si>
  <si>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</si>
  <si>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</si>
  <si>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</si>
  <si>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</si>
  <si>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</si>
  <si>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</si>
  <si>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</si>
  <si>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</si>
  <si>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</si>
  <si>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</si>
  <si>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</si>
  <si>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</si>
  <si>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</si>
  <si>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</si>
  <si>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</si>
  <si>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</si>
  <si>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</si>
  <si>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</si>
  <si>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</si>
  <si>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</si>
  <si>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</si>
  <si>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</si>
  <si>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</si>
  <si>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</si>
  <si>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</si>
  <si>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</si>
  <si>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</si>
  <si>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</si>
  <si>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</si>
  <si>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</si>
  <si>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</si>
  <si>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</si>
  <si>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</si>
  <si>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</si>
  <si>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</si>
  <si>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</si>
  <si>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</si>
  <si>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</si>
  <si>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</si>
  <si>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</si>
  <si>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</si>
  <si>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</si>
  <si>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</si>
  <si>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</si>
  <si>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</si>
  <si>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</si>
  <si>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</si>
  <si>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</si>
  <si>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</si>
  <si>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</si>
  <si>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</si>
  <si>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</si>
  <si>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</si>
  <si>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</si>
  <si>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</si>
  <si>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</si>
  <si>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</si>
  <si>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</si>
  <si>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</si>
  <si>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</si>
  <si>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</si>
  <si>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</si>
  <si>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</si>
  <si>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</si>
  <si>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</si>
  <si>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</si>
  <si>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</si>
  <si>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</si>
  <si>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</si>
  <si>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</si>
  <si>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</si>
  <si>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</si>
  <si>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</si>
  <si>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</si>
  <si>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</si>
  <si>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</si>
  <si>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</si>
  <si>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</si>
  <si>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</si>
  <si>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</si>
  <si>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</si>
  <si>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</si>
  <si>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</si>
  <si>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</si>
  <si>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</si>
  <si>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</si>
  <si>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</si>
  <si>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</si>
  <si>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</si>
  <si>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</si>
  <si>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</si>
  <si>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</si>
  <si>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</si>
  <si>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</si>
  <si>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</si>
  <si>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</si>
  <si>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</si>
  <si>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</si>
  <si>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</si>
  <si>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</si>
  <si>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</si>
  <si>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</si>
  <si>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</si>
  <si>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</si>
  <si>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</si>
  <si>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</si>
  <si>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</si>
  <si>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</si>
  <si>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</si>
  <si>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</si>
  <si>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</si>
  <si>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</si>
  <si>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</si>
  <si>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</si>
  <si>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</si>
  <si>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</si>
  <si>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</si>
  <si>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</si>
  <si>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</si>
  <si>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</si>
  <si>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</si>
  <si>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</si>
  <si>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</si>
  <si>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</si>
  <si>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</si>
  <si>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</si>
  <si>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</si>
  <si>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</si>
  <si>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</si>
  <si>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</si>
  <si>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</si>
  <si>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</si>
  <si>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</si>
  <si>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</si>
  <si>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</si>
  <si>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</si>
  <si>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</si>
  <si>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</si>
  <si>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</si>
  <si>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</si>
  <si>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</si>
  <si>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</si>
  <si>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</si>
  <si>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</si>
  <si>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</si>
  <si>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</si>
  <si>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</si>
  <si>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</si>
  <si>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</si>
  <si>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</si>
  <si>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</si>
  <si>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</si>
  <si>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</si>
  <si>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</si>
  <si>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</si>
  <si>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</si>
  <si>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</si>
  <si>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</si>
  <si>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</si>
  <si>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</si>
  <si>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</si>
  <si>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</si>
  <si>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</si>
  <si>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</si>
  <si>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</si>
  <si>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</si>
  <si>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</si>
  <si>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</si>
  <si>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</si>
  <si>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</si>
  <si>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</si>
  <si>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</si>
  <si>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</si>
  <si>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</si>
  <si>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</si>
  <si>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</si>
  <si>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</si>
  <si>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</si>
  <si>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</si>
  <si>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</si>
  <si>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</si>
  <si>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</si>
  <si>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</si>
  <si>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</si>
  <si>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</si>
  <si>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</si>
  <si>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</si>
  <si>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</si>
  <si>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</si>
  <si>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</si>
  <si>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</si>
  <si>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</si>
  <si>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</si>
  <si>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</si>
  <si>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</si>
  <si>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</si>
  <si>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</si>
  <si>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</si>
  <si>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</si>
  <si>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</si>
  <si>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</si>
  <si>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</si>
  <si>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</si>
  <si>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</si>
  <si>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</si>
  <si>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</si>
  <si>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</si>
  <si>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</si>
  <si>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</si>
  <si>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</si>
  <si>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</si>
  <si>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</si>
  <si>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</si>
  <si>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</si>
  <si>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</si>
  <si>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</si>
  <si>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</si>
  <si>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</si>
  <si>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</si>
  <si>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</si>
  <si>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</si>
  <si>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</si>
  <si>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</si>
  <si>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</si>
  <si>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</si>
  <si>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</si>
  <si>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</si>
  <si>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</si>
  <si>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</si>
  <si>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</si>
  <si>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</si>
  <si>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</si>
  <si>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</si>
  <si>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</si>
  <si>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</si>
  <si>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</si>
  <si>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</si>
  <si>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</si>
  <si>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</si>
  <si>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</si>
  <si>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</si>
  <si>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</si>
  <si>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</si>
  <si>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</si>
  <si>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</si>
  <si>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</si>
  <si>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</si>
  <si>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</si>
  <si>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</si>
  <si>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</si>
  <si>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</si>
  <si>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</si>
  <si>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</si>
  <si>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</si>
  <si>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</si>
  <si>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</si>
  <si>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</si>
  <si>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</si>
  <si>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</si>
  <si>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</si>
  <si>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</si>
  <si>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</si>
  <si>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</si>
  <si>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</si>
  <si>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</si>
  <si>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</si>
  <si>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</si>
  <si>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</si>
  <si>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</si>
  <si>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</si>
  <si>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</si>
  <si>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</si>
  <si>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</si>
  <si>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</si>
  <si>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</si>
  <si>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</si>
  <si>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</si>
  <si>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</si>
  <si>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</si>
  <si>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</si>
  <si>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</si>
  <si>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</si>
  <si>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</si>
  <si>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</si>
  <si>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</si>
  <si>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</si>
  <si>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</si>
  <si>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</si>
  <si>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</si>
  <si>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</si>
  <si>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</si>
  <si>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</si>
  <si>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</si>
  <si>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</si>
  <si>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</si>
  <si>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</si>
  <si>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</si>
  <si>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</si>
  <si>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</si>
  <si>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</si>
  <si>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</si>
  <si>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</si>
  <si>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</si>
  <si>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</si>
  <si>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</si>
  <si>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</si>
  <si>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</si>
  <si>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</si>
  <si>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</si>
  <si>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</si>
  <si>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</si>
  <si>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</si>
  <si>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</si>
  <si>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</si>
  <si>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</si>
  <si>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</si>
  <si>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</si>
  <si>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</si>
  <si>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</si>
  <si>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</si>
  <si>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</si>
  <si>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</si>
  <si>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</si>
  <si>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</si>
  <si>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</si>
  <si>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</si>
  <si>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</si>
  <si>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</si>
  <si>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</si>
  <si>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</si>
  <si>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</si>
  <si>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</si>
  <si>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</si>
  <si>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</si>
  <si>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</si>
  <si>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</si>
  <si>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</si>
  <si>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</si>
  <si>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</si>
  <si>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</si>
  <si>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</si>
  <si>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</si>
  <si>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</si>
  <si>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</si>
  <si>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</si>
  <si>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</si>
  <si>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</si>
  <si>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</si>
  <si>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</si>
  <si>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</si>
  <si>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</si>
  <si>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</si>
  <si>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</si>
  <si>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</si>
  <si>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</si>
  <si>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</si>
  <si>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</si>
  <si>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</si>
  <si>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</si>
  <si>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</si>
  <si>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</si>
  <si>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</si>
  <si>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</si>
  <si>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</si>
  <si>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</si>
  <si>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</si>
  <si>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</si>
  <si>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</si>
  <si>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</si>
  <si>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</si>
  <si>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</si>
  <si>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</si>
  <si>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</si>
  <si>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</si>
  <si>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</si>
  <si>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</si>
  <si>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</si>
  <si>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</si>
  <si>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</si>
  <si>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</si>
  <si>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</si>
  <si>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</si>
  <si>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</si>
  <si>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</si>
  <si>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</si>
  <si>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</si>
  <si>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1/15/95</t>
  </si>
  <si>
    <t>1/15/15</t>
  </si>
  <si>
    <t>Hanover School District</t>
  </si>
  <si>
    <t>Bridgman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</si>
</sst>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9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zoomScalePageLayoutView="12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233</v>
      </c>
      <c r="C2" s="21">
        <v>233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100-40750.82</f>
        <v>-40650.82</v>
      </c>
      <c r="G9" s="18"/>
      <c r="H9" s="18"/>
      <c r="I9" s="18"/>
      <c r="J9" s="67">
        <f>SUM(I438)</f>
        <v>1470782.33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313230.51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867.46</v>
      </c>
      <c r="G13" s="18">
        <v>3229.48</v>
      </c>
      <c r="H13" s="18">
        <v>44310.78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1026.58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829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275302.73000000004</v>
      </c>
      <c r="G19" s="41">
        <f>SUM(G9:G18)</f>
        <v>3229.48</v>
      </c>
      <c r="H19" s="41">
        <f>SUM(H9:H18)</f>
        <v>44310.78</v>
      </c>
      <c r="I19" s="41">
        <f>SUM(I9:I18)</f>
        <v>0</v>
      </c>
      <c r="J19" s="41">
        <f>SUM(J9:J18)</f>
        <v>1470782.33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-18063.72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-26058.06</v>
      </c>
      <c r="G23" s="18"/>
      <c r="H23" s="18">
        <v>44121.78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5834.02+52386.16</f>
        <v>58220.180000000008</v>
      </c>
      <c r="G24" s="18"/>
      <c r="H24" s="18">
        <v>189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7520</v>
      </c>
      <c r="G30" s="18">
        <v>9934.92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28295.58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67977.700000000012</v>
      </c>
      <c r="G32" s="41">
        <f>SUM(G22:G31)</f>
        <v>-8128.8000000000011</v>
      </c>
      <c r="H32" s="41">
        <f>SUM(H22:H31)</f>
        <v>44310.78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11358.28</v>
      </c>
      <c r="H47" s="18"/>
      <c r="I47" s="18"/>
      <c r="J47" s="13">
        <f>SUM(I458)</f>
        <v>1470782.33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207325.03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207325.03</v>
      </c>
      <c r="G50" s="41">
        <f>SUM(G35:G49)</f>
        <v>11358.28</v>
      </c>
      <c r="H50" s="41">
        <f>SUM(H35:H49)</f>
        <v>0</v>
      </c>
      <c r="I50" s="41">
        <f>SUM(I35:I49)</f>
        <v>0</v>
      </c>
      <c r="J50" s="41">
        <f>SUM(J35:J49)</f>
        <v>1470782.33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275302.73</v>
      </c>
      <c r="G51" s="41">
        <f>G50+G32</f>
        <v>3229.4799999999996</v>
      </c>
      <c r="H51" s="41">
        <f>H50+H32</f>
        <v>44310.78</v>
      </c>
      <c r="I51" s="41">
        <f>I50+I32</f>
        <v>0</v>
      </c>
      <c r="J51" s="41">
        <f>J50+J32</f>
        <v>1470782.33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10423584-F117</f>
        <v>8228569</v>
      </c>
      <c r="G56" s="18"/>
      <c r="H56" s="18"/>
      <c r="I56" s="18"/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8228569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5016.6000000000004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8285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13301.6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1138.1500000000001</v>
      </c>
      <c r="G95" s="18"/>
      <c r="H95" s="18"/>
      <c r="I95" s="18"/>
      <c r="J95" s="18">
        <f>43791.96+40679.51+120.33</f>
        <v>84591.8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123919.65-2088.48-1453.5+1097.27</f>
        <v>121474.94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12378.11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16958.38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</v>
      </c>
      <c r="G109" s="18">
        <v>-291.12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30481.64</v>
      </c>
      <c r="G110" s="41">
        <f>SUM(G95:G109)</f>
        <v>121183.82</v>
      </c>
      <c r="H110" s="41">
        <f>SUM(H95:H109)</f>
        <v>0</v>
      </c>
      <c r="I110" s="41">
        <f>SUM(I95:I109)</f>
        <v>0</v>
      </c>
      <c r="J110" s="41">
        <f>SUM(J95:J109)</f>
        <v>84591.8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8272352.2399999993</v>
      </c>
      <c r="G111" s="41">
        <f>G59+G110</f>
        <v>121183.82</v>
      </c>
      <c r="H111" s="41">
        <f>H59+H78+H93+H110</f>
        <v>0</v>
      </c>
      <c r="I111" s="41">
        <f>I59+I110</f>
        <v>0</v>
      </c>
      <c r="J111" s="41">
        <f>J59+J110</f>
        <v>84591.8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2195015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2195015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163775.89000000001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165711.35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1797.05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329487.24</v>
      </c>
      <c r="G135" s="41">
        <f>SUM(G122:G134)</f>
        <v>1797.05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149216.19</v>
      </c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2673718.4300000002</v>
      </c>
      <c r="G139" s="41">
        <f>G120+SUM(G135:G136)</f>
        <v>1797.05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1657.88</f>
        <v>1657.88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16587.95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94937.21+5382.31</f>
        <v>100319.52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78563.19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78563.19</v>
      </c>
      <c r="G161" s="41">
        <f>SUM(G149:G160)</f>
        <v>16587.95</v>
      </c>
      <c r="H161" s="41">
        <f>SUM(H149:H160)</f>
        <v>101977.40000000001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1071.72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79634.91</v>
      </c>
      <c r="G168" s="41">
        <f>G146+G161+SUM(G162:G167)</f>
        <v>16587.95</v>
      </c>
      <c r="H168" s="41">
        <f>H146+H161+SUM(H162:H167)</f>
        <v>101977.40000000001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85000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85000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85000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11025705.58</v>
      </c>
      <c r="G192" s="47">
        <f>G111+G139+G168+G191</f>
        <v>139568.82</v>
      </c>
      <c r="H192" s="47">
        <f>H111+H139+H168+H191</f>
        <v>101977.40000000001</v>
      </c>
      <c r="I192" s="47">
        <f>I111+I139+I168+I191</f>
        <v>0</v>
      </c>
      <c r="J192" s="47">
        <f>J111+J139+J191</f>
        <v>169591.8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2581130.77</v>
      </c>
      <c r="G196" s="18">
        <v>1045728.48</v>
      </c>
      <c r="H196" s="18">
        <v>1684025.59</v>
      </c>
      <c r="I196" s="18">
        <v>65497.21</v>
      </c>
      <c r="J196" s="18">
        <v>62686.080000000002</v>
      </c>
      <c r="K196" s="18">
        <v>494</v>
      </c>
      <c r="L196" s="19">
        <f>SUM(F196:K196)</f>
        <v>5439562.1299999999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1246441.47</v>
      </c>
      <c r="G197" s="18">
        <v>561320.31999999995</v>
      </c>
      <c r="H197" s="18">
        <v>155031.92000000001</v>
      </c>
      <c r="I197" s="18">
        <v>9643.42</v>
      </c>
      <c r="J197" s="18">
        <v>4801.3500000000004</v>
      </c>
      <c r="K197" s="18">
        <v>659.5</v>
      </c>
      <c r="L197" s="19">
        <f>SUM(F197:K197)</f>
        <v>1977897.98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190022.97</v>
      </c>
      <c r="G201" s="18">
        <v>90690.05</v>
      </c>
      <c r="H201" s="18">
        <v>1822.43</v>
      </c>
      <c r="I201" s="18">
        <v>2148</v>
      </c>
      <c r="J201" s="18">
        <v>0</v>
      </c>
      <c r="K201" s="18">
        <v>66</v>
      </c>
      <c r="L201" s="19">
        <f t="shared" ref="L201:L207" si="0">SUM(F201:K201)</f>
        <v>284749.45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188977.06</v>
      </c>
      <c r="G202" s="18">
        <v>122201.1</v>
      </c>
      <c r="H202" s="18">
        <v>18263.95</v>
      </c>
      <c r="I202" s="18">
        <v>12128.95</v>
      </c>
      <c r="J202" s="18">
        <v>4482.8999999999996</v>
      </c>
      <c r="K202" s="18">
        <v>0</v>
      </c>
      <c r="L202" s="19">
        <f t="shared" si="0"/>
        <v>346053.96000000008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8055.17</v>
      </c>
      <c r="G203" s="18">
        <v>667.75</v>
      </c>
      <c r="H203" s="18">
        <v>325208.98</v>
      </c>
      <c r="I203" s="18">
        <v>0</v>
      </c>
      <c r="J203" s="18">
        <v>0</v>
      </c>
      <c r="K203" s="18">
        <v>5498.72</v>
      </c>
      <c r="L203" s="19">
        <f t="shared" si="0"/>
        <v>339430.61999999994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266676.34999999998</v>
      </c>
      <c r="G204" s="18">
        <v>352685.03</v>
      </c>
      <c r="H204" s="18">
        <v>30902.75</v>
      </c>
      <c r="I204" s="18">
        <v>2211.2399999999998</v>
      </c>
      <c r="J204" s="18">
        <v>3052.45</v>
      </c>
      <c r="K204" s="18">
        <v>1369</v>
      </c>
      <c r="L204" s="19">
        <f t="shared" si="0"/>
        <v>656896.81999999995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191203.08</v>
      </c>
      <c r="G206" s="18">
        <v>80403.850000000006</v>
      </c>
      <c r="H206" s="18">
        <v>127737.99</v>
      </c>
      <c r="I206" s="18">
        <v>113498.97</v>
      </c>
      <c r="J206" s="18">
        <v>1121.3699999999999</v>
      </c>
      <c r="K206" s="18">
        <v>0</v>
      </c>
      <c r="L206" s="19">
        <f t="shared" si="0"/>
        <v>513965.26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237534.17</v>
      </c>
      <c r="I207" s="18">
        <v>26398.5</v>
      </c>
      <c r="J207" s="18">
        <v>0</v>
      </c>
      <c r="K207" s="18">
        <v>0</v>
      </c>
      <c r="L207" s="19">
        <f t="shared" si="0"/>
        <v>263932.67000000004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98979.4</v>
      </c>
      <c r="I208" s="18">
        <v>0</v>
      </c>
      <c r="J208" s="18">
        <v>0</v>
      </c>
      <c r="K208" s="18">
        <v>0</v>
      </c>
      <c r="L208" s="19">
        <f>SUM(F208:K208)</f>
        <v>98979.4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4672506.87</v>
      </c>
      <c r="G210" s="41">
        <f t="shared" si="1"/>
        <v>2253696.58</v>
      </c>
      <c r="H210" s="41">
        <f t="shared" si="1"/>
        <v>2679507.1800000002</v>
      </c>
      <c r="I210" s="41">
        <f t="shared" si="1"/>
        <v>231526.29</v>
      </c>
      <c r="J210" s="41">
        <f t="shared" si="1"/>
        <v>76144.149999999994</v>
      </c>
      <c r="K210" s="41">
        <f t="shared" si="1"/>
        <v>8087.22</v>
      </c>
      <c r="L210" s="41">
        <f t="shared" si="1"/>
        <v>9921468.2899999991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140194.82999999999</v>
      </c>
      <c r="I225" s="18"/>
      <c r="J225" s="18"/>
      <c r="K225" s="18"/>
      <c r="L225" s="19">
        <f t="shared" si="2"/>
        <v>140194.82999999999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140194.82999999999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140194.82999999999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680167.96</v>
      </c>
      <c r="I233" s="18">
        <v>0</v>
      </c>
      <c r="J233" s="18">
        <v>0</v>
      </c>
      <c r="K233" s="18">
        <v>0</v>
      </c>
      <c r="L233" s="19">
        <f>SUM(F233:K233)</f>
        <v>680167.96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143012.82999999999</v>
      </c>
      <c r="I243" s="18">
        <v>0</v>
      </c>
      <c r="J243" s="18">
        <v>0</v>
      </c>
      <c r="K243" s="18">
        <v>0</v>
      </c>
      <c r="L243" s="19">
        <f t="shared" si="4"/>
        <v>143012.82999999999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823180.78999999992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823180.78999999992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4672506.87</v>
      </c>
      <c r="G256" s="41">
        <f t="shared" si="8"/>
        <v>2253696.58</v>
      </c>
      <c r="H256" s="41">
        <f t="shared" si="8"/>
        <v>3642882.8000000003</v>
      </c>
      <c r="I256" s="41">
        <f t="shared" si="8"/>
        <v>231526.29</v>
      </c>
      <c r="J256" s="41">
        <f t="shared" si="8"/>
        <v>76144.149999999994</v>
      </c>
      <c r="K256" s="41">
        <f t="shared" si="8"/>
        <v>8087.22</v>
      </c>
      <c r="L256" s="41">
        <f t="shared" si="8"/>
        <v>10884843.909999998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200000</v>
      </c>
      <c r="L259" s="19">
        <f>SUM(F259:K259)</f>
        <v>200000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33025</v>
      </c>
      <c r="L260" s="19">
        <f>SUM(F260:K260)</f>
        <v>33025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85000</v>
      </c>
      <c r="L265" s="19">
        <f t="shared" si="9"/>
        <v>85000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318025</v>
      </c>
      <c r="L269" s="41">
        <f t="shared" si="9"/>
        <v>318025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4672506.87</v>
      </c>
      <c r="G270" s="42">
        <f t="shared" si="11"/>
        <v>2253696.58</v>
      </c>
      <c r="H270" s="42">
        <f t="shared" si="11"/>
        <v>3642882.8000000003</v>
      </c>
      <c r="I270" s="42">
        <f t="shared" si="11"/>
        <v>231526.29</v>
      </c>
      <c r="J270" s="42">
        <f t="shared" si="11"/>
        <v>76144.149999999994</v>
      </c>
      <c r="K270" s="42">
        <f t="shared" si="11"/>
        <v>326112.21999999997</v>
      </c>
      <c r="L270" s="42">
        <f t="shared" si="11"/>
        <v>11202868.909999998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72839+10900+5382.31+525.99</f>
        <v>89647.3</v>
      </c>
      <c r="G276" s="18">
        <f>10850.21+942.89</f>
        <v>11793.099999999999</v>
      </c>
      <c r="H276" s="18">
        <v>189</v>
      </c>
      <c r="I276" s="18">
        <v>348</v>
      </c>
      <c r="J276" s="18"/>
      <c r="K276" s="18"/>
      <c r="L276" s="19">
        <f>SUM(F276:K276)</f>
        <v>101977.4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89647.3</v>
      </c>
      <c r="G289" s="42">
        <f t="shared" si="13"/>
        <v>11793.099999999999</v>
      </c>
      <c r="H289" s="42">
        <f t="shared" si="13"/>
        <v>189</v>
      </c>
      <c r="I289" s="42">
        <f t="shared" si="13"/>
        <v>348</v>
      </c>
      <c r="J289" s="42">
        <f t="shared" si="13"/>
        <v>0</v>
      </c>
      <c r="K289" s="42">
        <f t="shared" si="13"/>
        <v>0</v>
      </c>
      <c r="L289" s="41">
        <f t="shared" si="13"/>
        <v>101977.4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89647.3</v>
      </c>
      <c r="G337" s="41">
        <f t="shared" si="20"/>
        <v>11793.099999999999</v>
      </c>
      <c r="H337" s="41">
        <f t="shared" si="20"/>
        <v>189</v>
      </c>
      <c r="I337" s="41">
        <f t="shared" si="20"/>
        <v>348</v>
      </c>
      <c r="J337" s="41">
        <f t="shared" si="20"/>
        <v>0</v>
      </c>
      <c r="K337" s="41">
        <f t="shared" si="20"/>
        <v>0</v>
      </c>
      <c r="L337" s="41">
        <f t="shared" si="20"/>
        <v>101977.4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89647.3</v>
      </c>
      <c r="G351" s="41">
        <f>G337</f>
        <v>11793.099999999999</v>
      </c>
      <c r="H351" s="41">
        <f>H337</f>
        <v>189</v>
      </c>
      <c r="I351" s="41">
        <f>I337</f>
        <v>348</v>
      </c>
      <c r="J351" s="41">
        <f>J337</f>
        <v>0</v>
      </c>
      <c r="K351" s="47">
        <f>K337+K350</f>
        <v>0</v>
      </c>
      <c r="L351" s="41">
        <f>L337+L350</f>
        <v>101977.4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28019.1+33454.4</f>
        <v>61473.5</v>
      </c>
      <c r="G357" s="18">
        <f>1462.5+70+100.38+2943.98+4814.52</f>
        <v>9391.380000000001</v>
      </c>
      <c r="H357" s="18">
        <f>1102.2</f>
        <v>1102.2</v>
      </c>
      <c r="I357" s="18">
        <f>67666.5+11847.71+295.6</f>
        <v>79809.81</v>
      </c>
      <c r="J357" s="18">
        <v>343</v>
      </c>
      <c r="K357" s="18"/>
      <c r="L357" s="13">
        <f>SUM(F357:K357)</f>
        <v>152119.89000000001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61473.5</v>
      </c>
      <c r="G361" s="47">
        <f t="shared" si="22"/>
        <v>9391.380000000001</v>
      </c>
      <c r="H361" s="47">
        <f t="shared" si="22"/>
        <v>1102.2</v>
      </c>
      <c r="I361" s="47">
        <f t="shared" si="22"/>
        <v>79809.81</v>
      </c>
      <c r="J361" s="47">
        <f t="shared" si="22"/>
        <v>343</v>
      </c>
      <c r="K361" s="47">
        <f t="shared" si="22"/>
        <v>0</v>
      </c>
      <c r="L361" s="47">
        <f t="shared" si="22"/>
        <v>152119.89000000001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67666.5+11847.71</f>
        <v>79514.209999999992</v>
      </c>
      <c r="G366" s="18"/>
      <c r="H366" s="18"/>
      <c r="I366" s="56">
        <f>SUM(F366:H366)</f>
        <v>79514.209999999992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295.6</f>
        <v>295.60000000000002</v>
      </c>
      <c r="G367" s="63"/>
      <c r="H367" s="63"/>
      <c r="I367" s="56">
        <f>SUM(F367:H367)</f>
        <v>295.60000000000002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79809.81</v>
      </c>
      <c r="G368" s="47">
        <f>SUM(G366:G367)</f>
        <v>0</v>
      </c>
      <c r="H368" s="47">
        <f>SUM(H366:H367)</f>
        <v>0</v>
      </c>
      <c r="I368" s="47">
        <f>SUM(I366:I367)</f>
        <v>79809.81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25000</v>
      </c>
      <c r="H388" s="18">
        <v>63.79</v>
      </c>
      <c r="I388" s="18"/>
      <c r="J388" s="24" t="s">
        <v>289</v>
      </c>
      <c r="K388" s="24" t="s">
        <v>289</v>
      </c>
      <c r="L388" s="56">
        <f t="shared" si="25"/>
        <v>25063.79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60000</v>
      </c>
      <c r="H391" s="18">
        <v>56.54</v>
      </c>
      <c r="I391" s="18"/>
      <c r="J391" s="24" t="s">
        <v>289</v>
      </c>
      <c r="K391" s="24" t="s">
        <v>289</v>
      </c>
      <c r="L391" s="56">
        <f t="shared" si="25"/>
        <v>60056.54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85000</v>
      </c>
      <c r="H392" s="139">
        <f>SUM(H386:H391)</f>
        <v>120.33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85120.33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 t="s">
        <v>912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f>43791.96+40679.51</f>
        <v>84471.47</v>
      </c>
      <c r="I402" s="18"/>
      <c r="J402" s="24" t="s">
        <v>289</v>
      </c>
      <c r="K402" s="24" t="s">
        <v>289</v>
      </c>
      <c r="L402" s="56">
        <f>SUM(F402:K402)</f>
        <v>84471.47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84471.47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84471.47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85000</v>
      </c>
      <c r="H407" s="47">
        <f>H392+H400+H406</f>
        <v>84591.8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169591.8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912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f>4544.93+18500</f>
        <v>23044.93</v>
      </c>
      <c r="I428" s="18"/>
      <c r="J428" s="18"/>
      <c r="K428" s="18"/>
      <c r="L428" s="56">
        <f>SUM(F428:K428)</f>
        <v>23044.93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23044.93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23044.93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23044.93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23044.93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225592.21</v>
      </c>
      <c r="G438" s="18"/>
      <c r="H438" s="18">
        <v>1245190.1200000001</v>
      </c>
      <c r="I438" s="56">
        <f t="shared" ref="I438:I444" si="33">SUM(F438:H438)</f>
        <v>1470782.33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225592.21</v>
      </c>
      <c r="G445" s="13">
        <f>SUM(G438:G444)</f>
        <v>0</v>
      </c>
      <c r="H445" s="13">
        <f>SUM(H438:H444)</f>
        <v>1245190.1200000001</v>
      </c>
      <c r="I445" s="13">
        <f>SUM(I438:I444)</f>
        <v>1470782.33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225592.21</v>
      </c>
      <c r="G458" s="18"/>
      <c r="H458" s="18">
        <v>1245190.1200000001</v>
      </c>
      <c r="I458" s="56">
        <f t="shared" si="34"/>
        <v>1470782.33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225592.21</v>
      </c>
      <c r="G459" s="83">
        <f>SUM(G453:G458)</f>
        <v>0</v>
      </c>
      <c r="H459" s="83">
        <f>SUM(H453:H458)</f>
        <v>1245190.1200000001</v>
      </c>
      <c r="I459" s="83">
        <f>SUM(I453:I458)</f>
        <v>1470782.33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225592.21</v>
      </c>
      <c r="G460" s="42">
        <f>G451+G459</f>
        <v>0</v>
      </c>
      <c r="H460" s="42">
        <f>H451+H459</f>
        <v>1245190.1200000001</v>
      </c>
      <c r="I460" s="42">
        <f>I451+I459</f>
        <v>1470782.33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384488.36</v>
      </c>
      <c r="G464" s="18">
        <v>23909.35</v>
      </c>
      <c r="H464" s="18">
        <v>0</v>
      </c>
      <c r="I464" s="18"/>
      <c r="J464" s="18">
        <v>1324235.46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11025705.58</v>
      </c>
      <c r="G467" s="18">
        <v>139568.82</v>
      </c>
      <c r="H467" s="18">
        <v>101977.4</v>
      </c>
      <c r="I467" s="18"/>
      <c r="J467" s="18">
        <f>85000+43791.96+40799.84</f>
        <v>169591.8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11025705.58</v>
      </c>
      <c r="G469" s="53">
        <f>SUM(G467:G468)</f>
        <v>139568.82</v>
      </c>
      <c r="H469" s="53">
        <f>SUM(H467:H468)</f>
        <v>101977.4</v>
      </c>
      <c r="I469" s="53">
        <f>SUM(I467:I468)</f>
        <v>0</v>
      </c>
      <c r="J469" s="53">
        <f>SUM(J467:J468)</f>
        <v>169591.8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11202868.91</v>
      </c>
      <c r="G471" s="18">
        <v>152119.89000000001</v>
      </c>
      <c r="H471" s="18">
        <v>101977.4</v>
      </c>
      <c r="I471" s="18"/>
      <c r="J471" s="18">
        <f>18500+4544.93</f>
        <v>23044.93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11202868.91</v>
      </c>
      <c r="G473" s="53">
        <f>SUM(G471:G472)</f>
        <v>152119.89000000001</v>
      </c>
      <c r="H473" s="53">
        <f>SUM(H471:H472)</f>
        <v>101977.4</v>
      </c>
      <c r="I473" s="53">
        <f>SUM(I471:I472)</f>
        <v>0</v>
      </c>
      <c r="J473" s="53">
        <f>SUM(J471:J472)</f>
        <v>23044.93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207325.02999999933</v>
      </c>
      <c r="G475" s="53">
        <f>(G464+G469)- G473</f>
        <v>11358.279999999999</v>
      </c>
      <c r="H475" s="53">
        <f>(H464+H469)- H473</f>
        <v>0</v>
      </c>
      <c r="I475" s="53">
        <f>(I464+I469)- I473</f>
        <v>0</v>
      </c>
      <c r="J475" s="53">
        <f>(J464+J469)- J473</f>
        <v>1470782.33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3985000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585000</v>
      </c>
      <c r="G494" s="18"/>
      <c r="H494" s="18"/>
      <c r="I494" s="18"/>
      <c r="J494" s="18"/>
      <c r="K494" s="53">
        <f>SUM(F494:J494)</f>
        <v>585000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200000</v>
      </c>
      <c r="G496" s="18"/>
      <c r="H496" s="18"/>
      <c r="I496" s="18"/>
      <c r="J496" s="18"/>
      <c r="K496" s="53">
        <f t="shared" si="35"/>
        <v>200000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390000</v>
      </c>
      <c r="G497" s="204"/>
      <c r="H497" s="204"/>
      <c r="I497" s="204"/>
      <c r="J497" s="204"/>
      <c r="K497" s="205">
        <f t="shared" si="35"/>
        <v>390000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12675+25350</f>
        <v>38025</v>
      </c>
      <c r="G498" s="18"/>
      <c r="H498" s="18"/>
      <c r="I498" s="18"/>
      <c r="J498" s="18"/>
      <c r="K498" s="53">
        <f t="shared" si="35"/>
        <v>38025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428025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428025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195000</v>
      </c>
      <c r="G500" s="204"/>
      <c r="H500" s="204"/>
      <c r="I500" s="204"/>
      <c r="J500" s="204"/>
      <c r="K500" s="205">
        <f t="shared" si="35"/>
        <v>195000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25350</v>
      </c>
      <c r="G501" s="18"/>
      <c r="H501" s="18"/>
      <c r="I501" s="18"/>
      <c r="J501" s="18"/>
      <c r="K501" s="53">
        <f t="shared" si="35"/>
        <v>25350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220350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220350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F197+F276-F525</f>
        <v>945913.18</v>
      </c>
      <c r="G520" s="18">
        <f t="shared" ref="G520:K520" si="36">G197+G276</f>
        <v>573113.41999999993</v>
      </c>
      <c r="H520" s="18">
        <f t="shared" si="36"/>
        <v>155220.92000000001</v>
      </c>
      <c r="I520" s="18">
        <f t="shared" si="36"/>
        <v>9991.42</v>
      </c>
      <c r="J520" s="18">
        <f t="shared" si="36"/>
        <v>4801.3500000000004</v>
      </c>
      <c r="K520" s="18">
        <f t="shared" si="36"/>
        <v>659.5</v>
      </c>
      <c r="L520" s="88">
        <f>SUM(F520:K520)</f>
        <v>1689699.79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</f>
        <v>0</v>
      </c>
      <c r="G521" s="18">
        <f t="shared" ref="G521:K521" si="37">G215+G295</f>
        <v>0</v>
      </c>
      <c r="H521" s="18">
        <f t="shared" si="37"/>
        <v>0</v>
      </c>
      <c r="I521" s="18">
        <f t="shared" si="37"/>
        <v>0</v>
      </c>
      <c r="J521" s="18">
        <f t="shared" si="37"/>
        <v>0</v>
      </c>
      <c r="K521" s="18">
        <f t="shared" si="37"/>
        <v>0</v>
      </c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</f>
        <v>0</v>
      </c>
      <c r="G522" s="18">
        <f t="shared" ref="G522:K522" si="38">G233+G314</f>
        <v>0</v>
      </c>
      <c r="H522" s="18">
        <f t="shared" si="38"/>
        <v>680167.96</v>
      </c>
      <c r="I522" s="18">
        <f t="shared" si="38"/>
        <v>0</v>
      </c>
      <c r="J522" s="18">
        <f t="shared" si="38"/>
        <v>0</v>
      </c>
      <c r="K522" s="18">
        <f t="shared" si="38"/>
        <v>0</v>
      </c>
      <c r="L522" s="88">
        <f>SUM(F522:K522)</f>
        <v>680167.96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945913.18</v>
      </c>
      <c r="G523" s="108">
        <f t="shared" ref="G523:L523" si="39">SUM(G520:G522)</f>
        <v>573113.41999999993</v>
      </c>
      <c r="H523" s="108">
        <f t="shared" si="39"/>
        <v>835388.88</v>
      </c>
      <c r="I523" s="108">
        <f t="shared" si="39"/>
        <v>9991.42</v>
      </c>
      <c r="J523" s="108">
        <f t="shared" si="39"/>
        <v>4801.3500000000004</v>
      </c>
      <c r="K523" s="108">
        <f t="shared" si="39"/>
        <v>659.5</v>
      </c>
      <c r="L523" s="89">
        <f t="shared" si="39"/>
        <v>2369867.75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138059+69121.34+40673.75+15990+3562.5+114732+2752+5285</f>
        <v>390175.58999999997</v>
      </c>
      <c r="G525" s="18"/>
      <c r="H525" s="18"/>
      <c r="I525" s="18"/>
      <c r="J525" s="18"/>
      <c r="K525" s="18"/>
      <c r="L525" s="88">
        <f>SUM(F525:K525)</f>
        <v>390175.58999999997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390175.58999999997</v>
      </c>
      <c r="G528" s="89">
        <f t="shared" ref="G528:L528" si="40">SUM(G525:G527)</f>
        <v>0</v>
      </c>
      <c r="H528" s="89">
        <f t="shared" si="40"/>
        <v>0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390175.58999999997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35763</v>
      </c>
      <c r="G530" s="18">
        <v>14635</v>
      </c>
      <c r="H530" s="18">
        <v>1140</v>
      </c>
      <c r="I530" s="18"/>
      <c r="J530" s="18"/>
      <c r="K530" s="18"/>
      <c r="L530" s="88">
        <f>SUM(F530:K530)</f>
        <v>51538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35763</v>
      </c>
      <c r="G533" s="89">
        <f t="shared" ref="G533:L533" si="41">SUM(G530:G532)</f>
        <v>14635</v>
      </c>
      <c r="H533" s="89">
        <f t="shared" si="41"/>
        <v>1140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51538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924</v>
      </c>
      <c r="G535" s="18"/>
      <c r="H535" s="18"/>
      <c r="I535" s="18"/>
      <c r="J535" s="18"/>
      <c r="K535" s="18"/>
      <c r="L535" s="88">
        <f>SUM(F535:K535)</f>
        <v>924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924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924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96969.4</v>
      </c>
      <c r="I540" s="18"/>
      <c r="J540" s="18"/>
      <c r="K540" s="18"/>
      <c r="L540" s="88">
        <f>SUM(F540:K540)</f>
        <v>96969.4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3">SUM(G540:G542)</f>
        <v>0</v>
      </c>
      <c r="H543" s="193">
        <f t="shared" si="43"/>
        <v>96969.4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96969.4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1372775.77</v>
      </c>
      <c r="G544" s="89">
        <f t="shared" ref="G544:L544" si="44">G523+G528+G533+G538+G543</f>
        <v>587748.41999999993</v>
      </c>
      <c r="H544" s="89">
        <f t="shared" si="44"/>
        <v>933498.28</v>
      </c>
      <c r="I544" s="89">
        <f t="shared" si="44"/>
        <v>9991.42</v>
      </c>
      <c r="J544" s="89">
        <f t="shared" si="44"/>
        <v>4801.3500000000004</v>
      </c>
      <c r="K544" s="89">
        <f t="shared" si="44"/>
        <v>659.5</v>
      </c>
      <c r="L544" s="89">
        <f t="shared" si="44"/>
        <v>2909474.7399999998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1689699.79</v>
      </c>
      <c r="G548" s="87">
        <f>L525</f>
        <v>390175.58999999997</v>
      </c>
      <c r="H548" s="87">
        <f>L530</f>
        <v>51538</v>
      </c>
      <c r="I548" s="87">
        <f>L535</f>
        <v>924</v>
      </c>
      <c r="J548" s="87">
        <f>L540</f>
        <v>96969.4</v>
      </c>
      <c r="K548" s="87">
        <f>SUM(F548:J548)</f>
        <v>2229306.7799999998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680167.96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680167.96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2369867.75</v>
      </c>
      <c r="G551" s="89">
        <f t="shared" si="45"/>
        <v>390175.58999999997</v>
      </c>
      <c r="H551" s="89">
        <f t="shared" si="45"/>
        <v>51538</v>
      </c>
      <c r="I551" s="89">
        <f t="shared" si="45"/>
        <v>924</v>
      </c>
      <c r="J551" s="89">
        <f t="shared" si="45"/>
        <v>96969.4</v>
      </c>
      <c r="K551" s="89">
        <f t="shared" si="45"/>
        <v>2909474.7399999998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8">SUM(G566:G568)</f>
        <v>0</v>
      </c>
      <c r="H569" s="193">
        <f t="shared" si="48"/>
        <v>0</v>
      </c>
      <c r="I569" s="193">
        <f t="shared" si="48"/>
        <v>0</v>
      </c>
      <c r="J569" s="193">
        <f t="shared" si="48"/>
        <v>0</v>
      </c>
      <c r="K569" s="193">
        <f t="shared" si="48"/>
        <v>0</v>
      </c>
      <c r="L569" s="193">
        <f t="shared" si="48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9">G559+G564+G569</f>
        <v>0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1722116-95952</f>
        <v>1626164</v>
      </c>
      <c r="G574" s="18"/>
      <c r="H574" s="18"/>
      <c r="I574" s="87">
        <f>SUM(F574:H574)</f>
        <v>1626164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35745.47</v>
      </c>
      <c r="I575" s="87">
        <f t="shared" ref="I575:I586" si="50">SUM(F575:H575)</f>
        <v>35745.47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10190</v>
      </c>
      <c r="G577" s="18"/>
      <c r="H577" s="18">
        <v>644422.49</v>
      </c>
      <c r="I577" s="87">
        <f t="shared" si="50"/>
        <v>654612.49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160977.48000000001</v>
      </c>
      <c r="I590" s="18">
        <v>140194.82999999999</v>
      </c>
      <c r="J590" s="18">
        <v>143012.82999999999</v>
      </c>
      <c r="K590" s="104">
        <f t="shared" ref="K590:K596" si="51">SUM(H590:J590)</f>
        <v>444185.14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96969.4</v>
      </c>
      <c r="I591" s="18"/>
      <c r="J591" s="18"/>
      <c r="K591" s="104">
        <f t="shared" si="51"/>
        <v>96969.4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51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51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5985.79</v>
      </c>
      <c r="I594" s="18"/>
      <c r="J594" s="18"/>
      <c r="K594" s="104">
        <f t="shared" si="51"/>
        <v>5985.79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263932.67</v>
      </c>
      <c r="I597" s="108">
        <f>SUM(I590:I596)</f>
        <v>140194.82999999999</v>
      </c>
      <c r="J597" s="108">
        <f>SUM(J590:J596)</f>
        <v>143012.82999999999</v>
      </c>
      <c r="K597" s="108">
        <f>SUM(K590:K596)</f>
        <v>547140.33000000007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76144.149999999994</v>
      </c>
      <c r="I603" s="18"/>
      <c r="J603" s="18"/>
      <c r="K603" s="104">
        <f>SUM(H603:J603)</f>
        <v>76144.149999999994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76144.149999999994</v>
      </c>
      <c r="I604" s="108">
        <f>SUM(I601:I603)</f>
        <v>0</v>
      </c>
      <c r="J604" s="108">
        <f>SUM(J601:J603)</f>
        <v>0</v>
      </c>
      <c r="K604" s="108">
        <f>SUM(K601:K603)</f>
        <v>76144.149999999994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49993.41</v>
      </c>
      <c r="G610" s="18">
        <f>3808.74+3747.93</f>
        <v>7556.67</v>
      </c>
      <c r="H610" s="18">
        <f>2752+5285+2504.03</f>
        <v>10541.03</v>
      </c>
      <c r="I610" s="18"/>
      <c r="J610" s="18"/>
      <c r="K610" s="18"/>
      <c r="L610" s="88">
        <f>SUM(F610:K610)</f>
        <v>68091.11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49993.41</v>
      </c>
      <c r="G613" s="108">
        <f t="shared" si="52"/>
        <v>7556.67</v>
      </c>
      <c r="H613" s="108">
        <f t="shared" si="52"/>
        <v>10541.03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68091.11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275302.73000000004</v>
      </c>
      <c r="H616" s="109">
        <f>SUM(F51)</f>
        <v>275302.73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3229.48</v>
      </c>
      <c r="H617" s="109">
        <f>SUM(G51)</f>
        <v>3229.4799999999996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44310.78</v>
      </c>
      <c r="H618" s="109">
        <f>SUM(H51)</f>
        <v>44310.78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1470782.33</v>
      </c>
      <c r="H620" s="109">
        <f>SUM(J51)</f>
        <v>1470782.33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207325.03</v>
      </c>
      <c r="H621" s="109">
        <f>F475</f>
        <v>207325.02999999933</v>
      </c>
      <c r="I621" s="121" t="s">
        <v>101</v>
      </c>
      <c r="J621" s="109">
        <f t="shared" ref="J621:J654" si="53">G621-H621</f>
        <v>6.6938810050487518E-10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11358.28</v>
      </c>
      <c r="H622" s="109">
        <f>G475</f>
        <v>11358.279999999999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1470782.33</v>
      </c>
      <c r="H625" s="109">
        <f>J475</f>
        <v>1470782.33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11025705.58</v>
      </c>
      <c r="H626" s="104">
        <f>SUM(F467)</f>
        <v>11025705.58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139568.82</v>
      </c>
      <c r="H627" s="104">
        <f>SUM(G467)</f>
        <v>139568.82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101977.40000000001</v>
      </c>
      <c r="H628" s="104">
        <f>SUM(H467)</f>
        <v>101977.4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169591.8</v>
      </c>
      <c r="H630" s="104">
        <f>SUM(J467)</f>
        <v>169591.8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11202868.909999998</v>
      </c>
      <c r="H631" s="104">
        <f>SUM(F471)</f>
        <v>11202868.91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101977.4</v>
      </c>
      <c r="H632" s="104">
        <f>SUM(H471)</f>
        <v>101977.4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79809.81</v>
      </c>
      <c r="H633" s="104">
        <f>I368</f>
        <v>79809.81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152119.89000000001</v>
      </c>
      <c r="H634" s="104">
        <f>SUM(G471)</f>
        <v>152119.89000000001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169591.8</v>
      </c>
      <c r="H636" s="164">
        <f>SUM(J467)</f>
        <v>169591.8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23044.93</v>
      </c>
      <c r="H637" s="164">
        <f>SUM(J471)</f>
        <v>23044.93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225592.21</v>
      </c>
      <c r="H638" s="104">
        <f>SUM(F460)</f>
        <v>225592.21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1245190.1200000001</v>
      </c>
      <c r="H640" s="104">
        <f>SUM(H460)</f>
        <v>1245190.1200000001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1470782.33</v>
      </c>
      <c r="H641" s="104">
        <f>SUM(I460)</f>
        <v>1470782.33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84591.8</v>
      </c>
      <c r="H643" s="104">
        <f>H407</f>
        <v>84591.8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85000</v>
      </c>
      <c r="H644" s="104">
        <f>G407</f>
        <v>85000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169591.8</v>
      </c>
      <c r="H645" s="104">
        <f>L407</f>
        <v>169591.8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547140.33000000007</v>
      </c>
      <c r="H646" s="104">
        <f>L207+L225+L243</f>
        <v>547140.32999999996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76144.149999999994</v>
      </c>
      <c r="H647" s="104">
        <f>(J256+J337)-(J254+J335)</f>
        <v>76144.149999999994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263932.67000000004</v>
      </c>
      <c r="H648" s="104">
        <f>H597</f>
        <v>263932.67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140194.82999999999</v>
      </c>
      <c r="H649" s="104">
        <f>I597</f>
        <v>140194.82999999999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143012.82999999999</v>
      </c>
      <c r="H650" s="104">
        <f>J597</f>
        <v>143012.82999999999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85000</v>
      </c>
      <c r="H654" s="104">
        <f>K265+K346</f>
        <v>85000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10175565.58</v>
      </c>
      <c r="G659" s="19">
        <f>(L228+L308+L358)</f>
        <v>140194.82999999999</v>
      </c>
      <c r="H659" s="19">
        <f>(L246+L327+L359)</f>
        <v>823180.78999999992</v>
      </c>
      <c r="I659" s="19">
        <f>SUM(F659:H659)</f>
        <v>11138941.199999999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121183.82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121183.82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263932.67000000004</v>
      </c>
      <c r="G661" s="19">
        <f>(L225+L305)-(J225+J305)</f>
        <v>140194.82999999999</v>
      </c>
      <c r="H661" s="19">
        <f>(L243+L324)-(J243+J324)</f>
        <v>143012.82999999999</v>
      </c>
      <c r="I661" s="19">
        <f>SUM(F661:H661)</f>
        <v>547140.32999999996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1780589.26</v>
      </c>
      <c r="G662" s="199">
        <f>SUM(G574:G586)+SUM(I601:I603)+L611</f>
        <v>0</v>
      </c>
      <c r="H662" s="199">
        <f>SUM(H574:H586)+SUM(J601:J603)+L612</f>
        <v>680167.96</v>
      </c>
      <c r="I662" s="19">
        <f>SUM(F662:H662)</f>
        <v>2460757.2199999997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8009859.8300000001</v>
      </c>
      <c r="G663" s="19">
        <f>G659-SUM(G660:G662)</f>
        <v>0</v>
      </c>
      <c r="H663" s="19">
        <f>H659-SUM(H660:H662)</f>
        <v>0</v>
      </c>
      <c r="I663" s="19">
        <f>I659-SUM(I660:I662)</f>
        <v>8009859.8300000001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431.1</v>
      </c>
      <c r="G664" s="248"/>
      <c r="H664" s="248"/>
      <c r="I664" s="19">
        <f>SUM(F664:H664)</f>
        <v>431.1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18580.05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18580.05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18580.05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18580.05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25" zoomScaleNormal="125" zoomScalePageLayoutView="125" workbookViewId="0">
      <selection activeCell="C19" sqref="C19:C2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Hanover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2581130.77</v>
      </c>
      <c r="C9" s="229">
        <f>'DOE25'!G196+'DOE25'!G214+'DOE25'!G232+'DOE25'!G275+'DOE25'!G294+'DOE25'!G313</f>
        <v>1045728.48</v>
      </c>
    </row>
    <row r="10" spans="1:3" x14ac:dyDescent="0.2">
      <c r="A10" t="s">
        <v>779</v>
      </c>
      <c r="B10" s="240">
        <v>2230345.2200000002</v>
      </c>
      <c r="C10" s="240">
        <f>B10/B13*C9</f>
        <v>903609.97741538903</v>
      </c>
    </row>
    <row r="11" spans="1:3" x14ac:dyDescent="0.2">
      <c r="A11" t="s">
        <v>780</v>
      </c>
      <c r="B11" s="240">
        <v>251440.88</v>
      </c>
      <c r="C11" s="240">
        <f>B11/B13*C9</f>
        <v>101869.65042932033</v>
      </c>
    </row>
    <row r="12" spans="1:3" x14ac:dyDescent="0.2">
      <c r="A12" t="s">
        <v>781</v>
      </c>
      <c r="B12" s="240">
        <f>B9-B10-B11</f>
        <v>99344.669999999809</v>
      </c>
      <c r="C12" s="240">
        <f>C9-C10-C11</f>
        <v>40248.852155290617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2581130.77</v>
      </c>
      <c r="C13" s="231">
        <f>SUM(C10:C12)</f>
        <v>1045728.48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1336088.77</v>
      </c>
      <c r="C18" s="229">
        <f>'DOE25'!G197+'DOE25'!G215+'DOE25'!G233+'DOE25'!G276+'DOE25'!G295+'DOE25'!G314</f>
        <v>573113.41999999993</v>
      </c>
    </row>
    <row r="19" spans="1:3" x14ac:dyDescent="0.2">
      <c r="A19" t="s">
        <v>779</v>
      </c>
      <c r="B19" s="240">
        <v>781564.45</v>
      </c>
      <c r="C19" s="240">
        <f>B19/B22*C18</f>
        <v>335250.98402699613</v>
      </c>
    </row>
    <row r="20" spans="1:3" x14ac:dyDescent="0.2">
      <c r="A20" t="s">
        <v>780</v>
      </c>
      <c r="B20" s="240">
        <v>513324.58</v>
      </c>
      <c r="C20" s="240">
        <f>B20/B22*C18</f>
        <v>220189.86479009443</v>
      </c>
    </row>
    <row r="21" spans="1:3" x14ac:dyDescent="0.2">
      <c r="A21" t="s">
        <v>781</v>
      </c>
      <c r="B21" s="240">
        <f>B18-B19-B20</f>
        <v>41199.740000000049</v>
      </c>
      <c r="C21" s="240">
        <f>C18-C19-C20</f>
        <v>17672.571182909363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1336088.77</v>
      </c>
      <c r="C22" s="231">
        <f>SUM(C19:C21)</f>
        <v>573113.41999999993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zoomScale="125" zoomScaleNormal="125" zoomScalePageLayoutView="125" workbookViewId="0">
      <pane ySplit="4" topLeftCell="A5" activePane="bottomLeft" state="frozen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Hanover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8097628.0699999994</v>
      </c>
      <c r="D5" s="20">
        <f>SUM('DOE25'!L196:L199)+SUM('DOE25'!L214:L217)+SUM('DOE25'!L232:L235)-F5-G5</f>
        <v>8028987.1399999997</v>
      </c>
      <c r="E5" s="243"/>
      <c r="F5" s="255">
        <f>SUM('DOE25'!J196:J199)+SUM('DOE25'!J214:J217)+SUM('DOE25'!J232:J235)</f>
        <v>67487.430000000008</v>
      </c>
      <c r="G5" s="53">
        <f>SUM('DOE25'!K196:K199)+SUM('DOE25'!K214:K217)+SUM('DOE25'!K232:K235)</f>
        <v>1153.5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284749.45</v>
      </c>
      <c r="D6" s="20">
        <f>'DOE25'!L201+'DOE25'!L219+'DOE25'!L237-F6-G6</f>
        <v>284683.45</v>
      </c>
      <c r="E6" s="243"/>
      <c r="F6" s="255">
        <f>'DOE25'!J201+'DOE25'!J219+'DOE25'!J237</f>
        <v>0</v>
      </c>
      <c r="G6" s="53">
        <f>'DOE25'!K201+'DOE25'!K219+'DOE25'!K237</f>
        <v>66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346053.96000000008</v>
      </c>
      <c r="D7" s="20">
        <f>'DOE25'!L202+'DOE25'!L220+'DOE25'!L238-F7-G7</f>
        <v>341571.06000000006</v>
      </c>
      <c r="E7" s="243"/>
      <c r="F7" s="255">
        <f>'DOE25'!J202+'DOE25'!J220+'DOE25'!J238</f>
        <v>4482.8999999999996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234083.99999999997</v>
      </c>
      <c r="D8" s="243"/>
      <c r="E8" s="20">
        <f>'DOE25'!L203+'DOE25'!L221+'DOE25'!L239-F8-G8-D9-D11</f>
        <v>228585.27999999997</v>
      </c>
      <c r="F8" s="255">
        <f>'DOE25'!J203+'DOE25'!J221+'DOE25'!J239</f>
        <v>0</v>
      </c>
      <c r="G8" s="53">
        <f>'DOE25'!K203+'DOE25'!K221+'DOE25'!K239</f>
        <v>5498.72</v>
      </c>
      <c r="H8" s="259"/>
    </row>
    <row r="9" spans="1:9" x14ac:dyDescent="0.2">
      <c r="A9" s="32">
        <v>2310</v>
      </c>
      <c r="B9" t="s">
        <v>818</v>
      </c>
      <c r="C9" s="245">
        <f t="shared" si="0"/>
        <v>37794.620000000003</v>
      </c>
      <c r="D9" s="244">
        <v>37794.620000000003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10850</v>
      </c>
      <c r="D10" s="243"/>
      <c r="E10" s="244">
        <v>10850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67552</v>
      </c>
      <c r="D11" s="244">
        <v>67552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656896.81999999995</v>
      </c>
      <c r="D12" s="20">
        <f>'DOE25'!L204+'DOE25'!L222+'DOE25'!L240-F12-G12</f>
        <v>652475.37</v>
      </c>
      <c r="E12" s="243"/>
      <c r="F12" s="255">
        <f>'DOE25'!J204+'DOE25'!J222+'DOE25'!J240</f>
        <v>3052.45</v>
      </c>
      <c r="G12" s="53">
        <f>'DOE25'!K204+'DOE25'!K222+'DOE25'!K240</f>
        <v>1369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513965.26</v>
      </c>
      <c r="D14" s="20">
        <f>'DOE25'!L206+'DOE25'!L224+'DOE25'!L242-F14-G14</f>
        <v>512843.89</v>
      </c>
      <c r="E14" s="243"/>
      <c r="F14" s="255">
        <f>'DOE25'!J206+'DOE25'!J224+'DOE25'!J242</f>
        <v>1121.3699999999999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547140.32999999996</v>
      </c>
      <c r="D15" s="20">
        <f>'DOE25'!L207+'DOE25'!L225+'DOE25'!L243-F15-G15</f>
        <v>547140.32999999996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98979.4</v>
      </c>
      <c r="D16" s="243"/>
      <c r="E16" s="20">
        <f>'DOE25'!L208+'DOE25'!L226+'DOE25'!L244-F16-G16</f>
        <v>98979.4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233025</v>
      </c>
      <c r="D25" s="243"/>
      <c r="E25" s="243"/>
      <c r="F25" s="258"/>
      <c r="G25" s="256"/>
      <c r="H25" s="257">
        <f>'DOE25'!L259+'DOE25'!L260+'DOE25'!L340+'DOE25'!L341</f>
        <v>233025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72605.680000000022</v>
      </c>
      <c r="D29" s="20">
        <f>'DOE25'!L357+'DOE25'!L358+'DOE25'!L359-'DOE25'!I366-F29-G29</f>
        <v>72262.680000000022</v>
      </c>
      <c r="E29" s="243"/>
      <c r="F29" s="255">
        <f>'DOE25'!J357+'DOE25'!J358+'DOE25'!J359</f>
        <v>343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101977.4</v>
      </c>
      <c r="D31" s="20">
        <f>'DOE25'!L289+'DOE25'!L308+'DOE25'!L327+'DOE25'!L332+'DOE25'!L333+'DOE25'!L334-F31-G31</f>
        <v>101977.4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10647287.939999999</v>
      </c>
      <c r="E33" s="246">
        <f>SUM(E5:E31)</f>
        <v>338414.67999999993</v>
      </c>
      <c r="F33" s="246">
        <f>SUM(F5:F31)</f>
        <v>76487.149999999994</v>
      </c>
      <c r="G33" s="246">
        <f>SUM(G5:G31)</f>
        <v>8087.22</v>
      </c>
      <c r="H33" s="246">
        <f>SUM(H5:H31)</f>
        <v>233025</v>
      </c>
    </row>
    <row r="35" spans="2:8" ht="12" thickBot="1" x14ac:dyDescent="0.25">
      <c r="B35" s="253" t="s">
        <v>847</v>
      </c>
      <c r="D35" s="254">
        <f>E33</f>
        <v>338414.67999999993</v>
      </c>
      <c r="E35" s="249"/>
    </row>
    <row r="36" spans="2:8" ht="12" thickTop="1" x14ac:dyDescent="0.2">
      <c r="B36" t="s">
        <v>815</v>
      </c>
      <c r="D36" s="20">
        <f>D33</f>
        <v>10647287.939999999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25" zoomScaleNormal="125" zoomScalePageLayoutView="125" workbookViewId="0">
      <pane ySplit="2" topLeftCell="A102" activePane="bottomLeft" state="frozen"/>
      <selection pane="bottomLeft" activeCell="A67" sqref="A67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Hanover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-40650.82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1470782.33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313230.51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867.46</v>
      </c>
      <c r="D12" s="95">
        <f>'DOE25'!G13</f>
        <v>3229.48</v>
      </c>
      <c r="E12" s="95">
        <f>'DOE25'!H13</f>
        <v>44310.78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1026.58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829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275302.73000000004</v>
      </c>
      <c r="D18" s="41">
        <f>SUM(D8:D17)</f>
        <v>3229.48</v>
      </c>
      <c r="E18" s="41">
        <f>SUM(E8:E17)</f>
        <v>44310.78</v>
      </c>
      <c r="F18" s="41">
        <f>SUM(F8:F17)</f>
        <v>0</v>
      </c>
      <c r="G18" s="41">
        <f>SUM(G8:G17)</f>
        <v>1470782.33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-18063.72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-26058.06</v>
      </c>
      <c r="D22" s="95">
        <f>'DOE25'!G23</f>
        <v>0</v>
      </c>
      <c r="E22" s="95">
        <f>'DOE25'!H23</f>
        <v>44121.78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58220.180000000008</v>
      </c>
      <c r="D23" s="95">
        <f>'DOE25'!G24</f>
        <v>0</v>
      </c>
      <c r="E23" s="95">
        <f>'DOE25'!H24</f>
        <v>189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7520</v>
      </c>
      <c r="D29" s="95">
        <f>'DOE25'!G30</f>
        <v>9934.92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28295.58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67977.700000000012</v>
      </c>
      <c r="D31" s="41">
        <f>SUM(D21:D30)</f>
        <v>-8128.8000000000011</v>
      </c>
      <c r="E31" s="41">
        <f>SUM(E21:E30)</f>
        <v>44310.78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11358.28</v>
      </c>
      <c r="E46" s="95">
        <f>'DOE25'!H47</f>
        <v>0</v>
      </c>
      <c r="F46" s="95">
        <f>'DOE25'!I47</f>
        <v>0</v>
      </c>
      <c r="G46" s="95">
        <f>'DOE25'!J47</f>
        <v>1470782.33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207325.03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207325.03</v>
      </c>
      <c r="D49" s="41">
        <f>SUM(D34:D48)</f>
        <v>11358.28</v>
      </c>
      <c r="E49" s="41">
        <f>SUM(E34:E48)</f>
        <v>0</v>
      </c>
      <c r="F49" s="41">
        <f>SUM(F34:F48)</f>
        <v>0</v>
      </c>
      <c r="G49" s="41">
        <f>SUM(G34:G48)</f>
        <v>1470782.33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275302.73</v>
      </c>
      <c r="D50" s="41">
        <f>D49+D31</f>
        <v>3229.4799999999996</v>
      </c>
      <c r="E50" s="41">
        <f>E49+E31</f>
        <v>44310.78</v>
      </c>
      <c r="F50" s="41">
        <f>F49+F31</f>
        <v>0</v>
      </c>
      <c r="G50" s="41">
        <f>G49+G31</f>
        <v>1470782.33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8228569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13301.6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1138.1500000000001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84591.8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121474.94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29343.49</v>
      </c>
      <c r="D60" s="95">
        <f>SUM('DOE25'!G97:G109)</f>
        <v>-291.12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43783.240000000005</v>
      </c>
      <c r="D61" s="130">
        <f>SUM(D56:D60)</f>
        <v>121183.82</v>
      </c>
      <c r="E61" s="130">
        <f>SUM(E56:E60)</f>
        <v>0</v>
      </c>
      <c r="F61" s="130">
        <f>SUM(F56:F60)</f>
        <v>0</v>
      </c>
      <c r="G61" s="130">
        <f>SUM(G56:G60)</f>
        <v>84591.8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8272352.2400000002</v>
      </c>
      <c r="D62" s="22">
        <f>D55+D61</f>
        <v>121183.82</v>
      </c>
      <c r="E62" s="22">
        <f>E55+E61</f>
        <v>0</v>
      </c>
      <c r="F62" s="22">
        <f>F55+F61</f>
        <v>0</v>
      </c>
      <c r="G62" s="22">
        <f>G55+G61</f>
        <v>84591.8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2195015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2195015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163775.89000000001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165711.35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1797.05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329487.24</v>
      </c>
      <c r="D77" s="130">
        <f>SUM(D71:D76)</f>
        <v>1797.05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149216.19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2673718.4300000002</v>
      </c>
      <c r="D80" s="130">
        <f>SUM(D78:D79)+D77+D69</f>
        <v>1797.05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78563.19</v>
      </c>
      <c r="D87" s="95">
        <f>SUM('DOE25'!G152:G160)</f>
        <v>16587.95</v>
      </c>
      <c r="E87" s="95">
        <f>SUM('DOE25'!H152:H160)</f>
        <v>101977.40000000001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1071.72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79634.91</v>
      </c>
      <c r="D90" s="131">
        <f>SUM(D84:D89)</f>
        <v>16587.95</v>
      </c>
      <c r="E90" s="131">
        <f>SUM(E84:E89)</f>
        <v>101977.40000000001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85000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85000</v>
      </c>
    </row>
    <row r="103" spans="1:7" ht="12.75" thickTop="1" thickBot="1" x14ac:dyDescent="0.25">
      <c r="A103" s="33" t="s">
        <v>765</v>
      </c>
      <c r="C103" s="86">
        <f>C62+C80+C90+C102</f>
        <v>11025705.58</v>
      </c>
      <c r="D103" s="86">
        <f>D62+D80+D90+D102</f>
        <v>139568.82</v>
      </c>
      <c r="E103" s="86">
        <f>E62+E80+E90+E102</f>
        <v>101977.40000000001</v>
      </c>
      <c r="F103" s="86">
        <f>F62+F80+F90+F102</f>
        <v>0</v>
      </c>
      <c r="G103" s="86">
        <f>G62+G80+G102</f>
        <v>169591.8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5439562.1299999999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2658065.94</v>
      </c>
      <c r="D109" s="24" t="s">
        <v>289</v>
      </c>
      <c r="E109" s="95">
        <f>('DOE25'!L276)+('DOE25'!L295)+('DOE25'!L314)</f>
        <v>101977.4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8097628.0700000003</v>
      </c>
      <c r="D114" s="86">
        <f>SUM(D108:D113)</f>
        <v>0</v>
      </c>
      <c r="E114" s="86">
        <f>SUM(E108:E113)</f>
        <v>101977.4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284749.45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346053.96000000008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339430.61999999994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656896.81999999995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513965.26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547140.32999999996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98979.4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152119.89000000001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2787215.8400000003</v>
      </c>
      <c r="D127" s="86">
        <f>SUM(D117:D126)</f>
        <v>152119.89000000001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33025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85120.33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84471.47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-84591.799999999988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318025.00000000006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11202868.91</v>
      </c>
      <c r="D144" s="86">
        <f>(D114+D127+D143)</f>
        <v>152119.89000000001</v>
      </c>
      <c r="E144" s="86">
        <f>(E114+E127+E143)</f>
        <v>101977.4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1/15/95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1/15/15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3985000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585000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585000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200000</v>
      </c>
    </row>
    <row r="158" spans="1:9" x14ac:dyDescent="0.2">
      <c r="A158" s="22" t="s">
        <v>35</v>
      </c>
      <c r="B158" s="137">
        <f>'DOE25'!F497</f>
        <v>390000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36</v>
      </c>
      <c r="B159" s="137">
        <f>'DOE25'!F498</f>
        <v>38025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38025</v>
      </c>
    </row>
    <row r="160" spans="1:9" x14ac:dyDescent="0.2">
      <c r="A160" s="22" t="s">
        <v>37</v>
      </c>
      <c r="B160" s="137">
        <f>'DOE25'!F499</f>
        <v>428025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428025</v>
      </c>
    </row>
    <row r="161" spans="1:7" x14ac:dyDescent="0.2">
      <c r="A161" s="22" t="s">
        <v>38</v>
      </c>
      <c r="B161" s="137">
        <f>'DOE25'!F500</f>
        <v>195000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195000</v>
      </c>
    </row>
    <row r="162" spans="1:7" x14ac:dyDescent="0.2">
      <c r="A162" s="22" t="s">
        <v>39</v>
      </c>
      <c r="B162" s="137">
        <f>'DOE25'!F501</f>
        <v>25350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25350</v>
      </c>
    </row>
    <row r="163" spans="1:7" x14ac:dyDescent="0.2">
      <c r="A163" s="22" t="s">
        <v>246</v>
      </c>
      <c r="B163" s="137">
        <f>'DOE25'!F502</f>
        <v>220350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220350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  <pageSetUpPr fitToPage="1"/>
  </sheetPr>
  <dimension ref="A1:D42"/>
  <sheetViews>
    <sheetView zoomScale="125" zoomScaleNormal="125" zoomScalePageLayoutView="125" workbookViewId="0">
      <selection activeCell="C37" sqref="C37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Hanover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18580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18580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5439562</v>
      </c>
      <c r="D10" s="182">
        <f>ROUND((C10/$C$28)*100,1)</f>
        <v>49.2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2760043</v>
      </c>
      <c r="D11" s="182">
        <f>ROUND((C11/$C$28)*100,1)</f>
        <v>25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284749</v>
      </c>
      <c r="D15" s="182">
        <f t="shared" ref="D15:D27" si="0">ROUND((C15/$C$28)*100,1)</f>
        <v>2.6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346054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438410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656897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513965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547140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33025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30936.179999999993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11050781.18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11050781.18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8228569</v>
      </c>
      <c r="D35" s="182">
        <f t="shared" ref="D35:D40" si="1">ROUND((C35/$C$41)*100,1)</f>
        <v>73.3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128375.03999999911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2195015</v>
      </c>
      <c r="D37" s="182">
        <f t="shared" si="1"/>
        <v>19.5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480500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198200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11230659.039999999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Hanover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2013-09-19T15:05:20Z</cp:lastPrinted>
  <dcterms:created xsi:type="dcterms:W3CDTF">1997-12-04T19:04:30Z</dcterms:created>
  <dcterms:modified xsi:type="dcterms:W3CDTF">2013-11-14T16:26:05Z</dcterms:modified>
</cp:coreProperties>
</file>