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3" i="1" l="1"/>
  <c r="D9" i="13"/>
  <c r="I357" i="1"/>
  <c r="H357" i="1"/>
  <c r="G357" i="1"/>
  <c r="J95" i="1"/>
  <c r="H590" i="1"/>
  <c r="H525" i="1"/>
  <c r="J520" i="1"/>
  <c r="I520" i="1"/>
  <c r="G520" i="1"/>
  <c r="F520" i="1"/>
  <c r="J467" i="1"/>
  <c r="H471" i="1"/>
  <c r="H467" i="1"/>
  <c r="F439" i="1"/>
  <c r="I282" i="1" l="1"/>
  <c r="K282" i="1"/>
  <c r="H282" i="1"/>
  <c r="J282" i="1"/>
  <c r="G282" i="1"/>
  <c r="F282" i="1"/>
  <c r="H281" i="1"/>
  <c r="I281" i="1"/>
  <c r="G281" i="1"/>
  <c r="F281" i="1"/>
  <c r="I278" i="1"/>
  <c r="H278" i="1"/>
  <c r="G278" i="1"/>
  <c r="F278" i="1"/>
  <c r="I276" i="1"/>
  <c r="G276" i="1"/>
  <c r="J275" i="1"/>
  <c r="I275" i="1"/>
  <c r="G275" i="1"/>
  <c r="F275" i="1"/>
  <c r="I204" i="1"/>
  <c r="I202" i="1"/>
  <c r="I201" i="1"/>
  <c r="H207" i="1"/>
  <c r="H203" i="1"/>
  <c r="H202" i="1"/>
  <c r="H201" i="1"/>
  <c r="G203" i="1"/>
  <c r="G202" i="1"/>
  <c r="G201" i="1"/>
  <c r="F203" i="1"/>
  <c r="F202" i="1"/>
  <c r="F201" i="1"/>
  <c r="H62" i="1"/>
  <c r="H158" i="1"/>
  <c r="H154" i="1"/>
  <c r="G96" i="1"/>
  <c r="F109" i="1"/>
  <c r="H28" i="1"/>
  <c r="H24" i="1"/>
  <c r="H9" i="1"/>
  <c r="F12" i="1"/>
  <c r="F9" i="1"/>
  <c r="C37" i="10" l="1"/>
  <c r="F40" i="2" l="1"/>
  <c r="D39" i="2"/>
  <c r="G654" i="1"/>
  <c r="F47" i="2"/>
  <c r="E47" i="2"/>
  <c r="D47" i="2"/>
  <c r="C47" i="2"/>
  <c r="F46" i="2"/>
  <c r="F49" i="2" s="1"/>
  <c r="F50" i="2" s="1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C111" i="2" s="1"/>
  <c r="L214" i="1"/>
  <c r="L215" i="1"/>
  <c r="L216" i="1"/>
  <c r="L217" i="1"/>
  <c r="L232" i="1"/>
  <c r="L246" i="1" s="1"/>
  <c r="L233" i="1"/>
  <c r="L234" i="1"/>
  <c r="L235" i="1"/>
  <c r="F6" i="13"/>
  <c r="G6" i="13"/>
  <c r="L201" i="1"/>
  <c r="C15" i="10" s="1"/>
  <c r="L219" i="1"/>
  <c r="L237" i="1"/>
  <c r="F7" i="13"/>
  <c r="G7" i="13"/>
  <c r="D7" i="13" s="1"/>
  <c r="C7" i="13" s="1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D14" i="13" s="1"/>
  <c r="C14" i="13" s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C11" i="10" s="1"/>
  <c r="L277" i="1"/>
  <c r="L278" i="1"/>
  <c r="E111" i="2" s="1"/>
  <c r="L280" i="1"/>
  <c r="L281" i="1"/>
  <c r="E118" i="2" s="1"/>
  <c r="L282" i="1"/>
  <c r="E119" i="2" s="1"/>
  <c r="L283" i="1"/>
  <c r="L284" i="1"/>
  <c r="C19" i="10" s="1"/>
  <c r="L285" i="1"/>
  <c r="L286" i="1"/>
  <c r="F661" i="1" s="1"/>
  <c r="L287" i="1"/>
  <c r="E124" i="2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111" i="1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2" i="10"/>
  <c r="C13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G661" i="1"/>
  <c r="I668" i="1"/>
  <c r="C42" i="10"/>
  <c r="C32" i="10"/>
  <c r="L373" i="1"/>
  <c r="L374" i="1"/>
  <c r="L375" i="1"/>
  <c r="L376" i="1"/>
  <c r="L377" i="1"/>
  <c r="C29" i="10" s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K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C22" i="2"/>
  <c r="C31" i="2" s="1"/>
  <c r="D22" i="2"/>
  <c r="E22" i="2"/>
  <c r="F22" i="2"/>
  <c r="I448" i="1"/>
  <c r="J23" i="1" s="1"/>
  <c r="C23" i="2"/>
  <c r="D23" i="2"/>
  <c r="E23" i="2"/>
  <c r="E31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49" i="2" s="1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F102" i="2" s="1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C110" i="2"/>
  <c r="E110" i="2"/>
  <c r="C112" i="2"/>
  <c r="E112" i="2"/>
  <c r="C113" i="2"/>
  <c r="E113" i="2"/>
  <c r="D114" i="2"/>
  <c r="F114" i="2"/>
  <c r="G114" i="2"/>
  <c r="E117" i="2"/>
  <c r="C119" i="2"/>
  <c r="E120" i="2"/>
  <c r="C121" i="2"/>
  <c r="C122" i="2"/>
  <c r="E122" i="2"/>
  <c r="E123" i="2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G392" i="1"/>
  <c r="H392" i="1"/>
  <c r="H407" i="1" s="1"/>
  <c r="H643" i="1" s="1"/>
  <c r="I392" i="1"/>
  <c r="F400" i="1"/>
  <c r="G400" i="1"/>
  <c r="H400" i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F451" i="1"/>
  <c r="G451" i="1"/>
  <c r="H451" i="1"/>
  <c r="I451" i="1"/>
  <c r="F459" i="1"/>
  <c r="G459" i="1"/>
  <c r="H459" i="1"/>
  <c r="F460" i="1"/>
  <c r="G460" i="1"/>
  <c r="H639" i="1" s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G544" i="1" s="1"/>
  <c r="H523" i="1"/>
  <c r="I523" i="1"/>
  <c r="J523" i="1"/>
  <c r="K523" i="1"/>
  <c r="F528" i="1"/>
  <c r="G528" i="1"/>
  <c r="H528" i="1"/>
  <c r="I528" i="1"/>
  <c r="I544" i="1" s="1"/>
  <c r="J528" i="1"/>
  <c r="K528" i="1"/>
  <c r="L528" i="1"/>
  <c r="F533" i="1"/>
  <c r="G533" i="1"/>
  <c r="H533" i="1"/>
  <c r="I533" i="1"/>
  <c r="J533" i="1"/>
  <c r="K533" i="1"/>
  <c r="K544" i="1" s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G618" i="1"/>
  <c r="G619" i="1"/>
  <c r="G622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G639" i="1"/>
  <c r="G640" i="1"/>
  <c r="H640" i="1"/>
  <c r="G641" i="1"/>
  <c r="G642" i="1"/>
  <c r="H642" i="1"/>
  <c r="G643" i="1"/>
  <c r="H644" i="1"/>
  <c r="G649" i="1"/>
  <c r="G651" i="1"/>
  <c r="H651" i="1"/>
  <c r="G652" i="1"/>
  <c r="H652" i="1"/>
  <c r="G653" i="1"/>
  <c r="H653" i="1"/>
  <c r="H654" i="1"/>
  <c r="J654" i="1" s="1"/>
  <c r="F191" i="1"/>
  <c r="L255" i="1"/>
  <c r="K256" i="1"/>
  <c r="G256" i="1"/>
  <c r="G270" i="1" s="1"/>
  <c r="G163" i="2"/>
  <c r="G159" i="2"/>
  <c r="F31" i="2"/>
  <c r="C26" i="10"/>
  <c r="L327" i="1"/>
  <c r="L350" i="1"/>
  <c r="A31" i="12"/>
  <c r="C69" i="2"/>
  <c r="G161" i="2"/>
  <c r="D61" i="2"/>
  <c r="D62" i="2" s="1"/>
  <c r="E49" i="2"/>
  <c r="D18" i="13"/>
  <c r="C18" i="13" s="1"/>
  <c r="E18" i="2"/>
  <c r="D17" i="13"/>
  <c r="C17" i="13" s="1"/>
  <c r="G158" i="2"/>
  <c r="C90" i="2"/>
  <c r="G80" i="2"/>
  <c r="F77" i="2"/>
  <c r="F80" i="2" s="1"/>
  <c r="F61" i="2"/>
  <c r="F62" i="2" s="1"/>
  <c r="C77" i="2"/>
  <c r="C80" i="2" s="1"/>
  <c r="D49" i="2"/>
  <c r="G156" i="2"/>
  <c r="F18" i="2"/>
  <c r="G162" i="2"/>
  <c r="G160" i="2"/>
  <c r="G157" i="2"/>
  <c r="G155" i="2"/>
  <c r="E143" i="2"/>
  <c r="G102" i="2"/>
  <c r="E102" i="2"/>
  <c r="C102" i="2"/>
  <c r="F90" i="2"/>
  <c r="D19" i="13"/>
  <c r="C19" i="13" s="1"/>
  <c r="E13" i="13"/>
  <c r="C13" i="13" s="1"/>
  <c r="E77" i="2"/>
  <c r="E80" i="2" s="1"/>
  <c r="L426" i="1"/>
  <c r="J640" i="1"/>
  <c r="K604" i="1"/>
  <c r="G647" i="1" s="1"/>
  <c r="J570" i="1"/>
  <c r="K570" i="1"/>
  <c r="L432" i="1"/>
  <c r="L418" i="1"/>
  <c r="I168" i="1"/>
  <c r="G551" i="1"/>
  <c r="J642" i="1"/>
  <c r="F475" i="1"/>
  <c r="H621" i="1" s="1"/>
  <c r="G475" i="1"/>
  <c r="H622" i="1" s="1"/>
  <c r="J622" i="1" s="1"/>
  <c r="F168" i="1"/>
  <c r="J139" i="1"/>
  <c r="F570" i="1"/>
  <c r="I551" i="1"/>
  <c r="G22" i="2"/>
  <c r="K597" i="1"/>
  <c r="G646" i="1" s="1"/>
  <c r="J551" i="1"/>
  <c r="H139" i="1"/>
  <c r="L400" i="1"/>
  <c r="C138" i="2" s="1"/>
  <c r="L392" i="1"/>
  <c r="C137" i="2" s="1"/>
  <c r="F22" i="13"/>
  <c r="H25" i="13"/>
  <c r="C25" i="13" s="1"/>
  <c r="H570" i="1"/>
  <c r="L559" i="1"/>
  <c r="J544" i="1"/>
  <c r="G191" i="1"/>
  <c r="H191" i="1"/>
  <c r="C35" i="10"/>
  <c r="L308" i="1"/>
  <c r="L569" i="1"/>
  <c r="I570" i="1"/>
  <c r="G36" i="2"/>
  <c r="L564" i="1"/>
  <c r="K550" i="1"/>
  <c r="C22" i="13"/>
  <c r="H33" i="13"/>
  <c r="F129" i="2" l="1"/>
  <c r="F143" i="2" s="1"/>
  <c r="F144" i="2" s="1"/>
  <c r="L381" i="1"/>
  <c r="G635" i="1" s="1"/>
  <c r="I475" i="1"/>
  <c r="H624" i="1" s="1"/>
  <c r="J635" i="1"/>
  <c r="A13" i="12"/>
  <c r="G644" i="1"/>
  <c r="J644" i="1" s="1"/>
  <c r="J643" i="1"/>
  <c r="L613" i="1"/>
  <c r="J650" i="1"/>
  <c r="L523" i="1"/>
  <c r="L544" i="1" s="1"/>
  <c r="H544" i="1"/>
  <c r="F551" i="1"/>
  <c r="K548" i="1"/>
  <c r="K551" i="1" s="1"/>
  <c r="J475" i="1"/>
  <c r="H625" i="1" s="1"/>
  <c r="H475" i="1"/>
  <c r="H623" i="1" s="1"/>
  <c r="J639" i="1"/>
  <c r="J638" i="1"/>
  <c r="I459" i="1"/>
  <c r="I460" i="1" s="1"/>
  <c r="H641" i="1" s="1"/>
  <c r="J633" i="1"/>
  <c r="D126" i="2"/>
  <c r="D127" i="2" s="1"/>
  <c r="D144" i="2" s="1"/>
  <c r="H660" i="1"/>
  <c r="F660" i="1"/>
  <c r="L361" i="1"/>
  <c r="G634" i="1" s="1"/>
  <c r="J634" i="1" s="1"/>
  <c r="D29" i="13"/>
  <c r="C29" i="13" s="1"/>
  <c r="E121" i="2"/>
  <c r="E127" i="2"/>
  <c r="C16" i="10"/>
  <c r="E114" i="2"/>
  <c r="J337" i="1"/>
  <c r="J351" i="1" s="1"/>
  <c r="L289" i="1"/>
  <c r="L337" i="1" s="1"/>
  <c r="L351" i="1" s="1"/>
  <c r="G632" i="1" s="1"/>
  <c r="J632" i="1" s="1"/>
  <c r="H661" i="1"/>
  <c r="C21" i="10"/>
  <c r="C123" i="2"/>
  <c r="H659" i="1"/>
  <c r="H256" i="1"/>
  <c r="H270" i="1" s="1"/>
  <c r="I661" i="1"/>
  <c r="L228" i="1"/>
  <c r="C10" i="10"/>
  <c r="K270" i="1"/>
  <c r="E16" i="13"/>
  <c r="C16" i="13" s="1"/>
  <c r="C17" i="10"/>
  <c r="D15" i="13"/>
  <c r="C15" i="13" s="1"/>
  <c r="G648" i="1"/>
  <c r="J648" i="1" s="1"/>
  <c r="H646" i="1"/>
  <c r="J646" i="1" s="1"/>
  <c r="E8" i="13"/>
  <c r="C8" i="13" s="1"/>
  <c r="D6" i="13"/>
  <c r="C6" i="13" s="1"/>
  <c r="D5" i="13"/>
  <c r="C5" i="13" s="1"/>
  <c r="C108" i="2"/>
  <c r="C114" i="2" s="1"/>
  <c r="D12" i="13"/>
  <c r="C12" i="13" s="1"/>
  <c r="C120" i="2"/>
  <c r="C118" i="2"/>
  <c r="L210" i="1"/>
  <c r="C117" i="2"/>
  <c r="E61" i="2"/>
  <c r="E62" i="2" s="1"/>
  <c r="F111" i="1"/>
  <c r="C56" i="2"/>
  <c r="C61" i="2" s="1"/>
  <c r="C62" i="2" s="1"/>
  <c r="C103" i="2" s="1"/>
  <c r="J623" i="1"/>
  <c r="E50" i="2"/>
  <c r="G624" i="1"/>
  <c r="J624" i="1" s="1"/>
  <c r="H51" i="1"/>
  <c r="H618" i="1" s="1"/>
  <c r="J618" i="1" s="1"/>
  <c r="G51" i="1"/>
  <c r="H617" i="1" s="1"/>
  <c r="D18" i="2"/>
  <c r="G621" i="1"/>
  <c r="J621" i="1" s="1"/>
  <c r="J616" i="1"/>
  <c r="C50" i="2"/>
  <c r="C18" i="2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H645" i="1"/>
  <c r="G49" i="2"/>
  <c r="G50" i="2" s="1"/>
  <c r="J651" i="1"/>
  <c r="J641" i="1"/>
  <c r="G570" i="1"/>
  <c r="I433" i="1"/>
  <c r="G433" i="1"/>
  <c r="I662" i="1"/>
  <c r="C27" i="10" l="1"/>
  <c r="C28" i="10" s="1"/>
  <c r="D22" i="10" s="1"/>
  <c r="I660" i="1"/>
  <c r="E144" i="2"/>
  <c r="H647" i="1"/>
  <c r="J647" i="1" s="1"/>
  <c r="F659" i="1"/>
  <c r="F663" i="1" s="1"/>
  <c r="F671" i="1" s="1"/>
  <c r="C4" i="10" s="1"/>
  <c r="D31" i="13"/>
  <c r="C31" i="13" s="1"/>
  <c r="H663" i="1"/>
  <c r="H666" i="1" s="1"/>
  <c r="G671" i="1"/>
  <c r="C5" i="10" s="1"/>
  <c r="E33" i="13"/>
  <c r="D35" i="13" s="1"/>
  <c r="L256" i="1"/>
  <c r="L270" i="1" s="1"/>
  <c r="G631" i="1" s="1"/>
  <c r="J631" i="1" s="1"/>
  <c r="C127" i="2"/>
  <c r="C144" i="2" s="1"/>
  <c r="E103" i="2"/>
  <c r="F192" i="1"/>
  <c r="G626" i="1" s="1"/>
  <c r="J626" i="1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H671" i="1" l="1"/>
  <c r="C6" i="10" s="1"/>
  <c r="I659" i="1"/>
  <c r="I663" i="1" s="1"/>
  <c r="I671" i="1" s="1"/>
  <c r="C7" i="10" s="1"/>
  <c r="F666" i="1"/>
  <c r="D33" i="13"/>
  <c r="D36" i="13" s="1"/>
  <c r="D24" i="10"/>
  <c r="D23" i="10"/>
  <c r="D20" i="10"/>
  <c r="D12" i="10"/>
  <c r="D26" i="10"/>
  <c r="D17" i="10"/>
  <c r="D10" i="10"/>
  <c r="D25" i="10"/>
  <c r="D27" i="10"/>
  <c r="D15" i="10"/>
  <c r="D16" i="10"/>
  <c r="D18" i="10"/>
  <c r="C30" i="10"/>
  <c r="D19" i="10"/>
  <c r="D13" i="10"/>
  <c r="D11" i="10"/>
  <c r="D21" i="10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<sst xmlns="http://schemas.openxmlformats.org/spreadsheetml/2006/main" count="3944" uniqueCount="910">
  <si>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</si>
  <si>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</si>
  <si>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</si>
  <si>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</si>
  <si>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</si>
  <si>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</si>
  <si>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</si>
  <si>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</si>
  <si>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</si>
  <si>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</si>
  <si>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</si>
  <si>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</si>
  <si>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</si>
  <si>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</si>
  <si>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</si>
  <si>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</si>
  <si>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</si>
  <si>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</si>
  <si>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</si>
  <si>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</si>
  <si>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</si>
  <si>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</si>
  <si>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</si>
  <si>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</si>
  <si>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</si>
  <si>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</si>
  <si>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</si>
  <si>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</si>
  <si>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</si>
  <si>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</si>
  <si>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</si>
  <si>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</si>
  <si>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</si>
  <si>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</si>
  <si>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</si>
  <si>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</si>
  <si>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</si>
  <si>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</si>
  <si>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</si>
  <si>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</si>
  <si>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</si>
  <si>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</si>
  <si>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</si>
  <si>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</si>
  <si>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</si>
  <si>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</si>
  <si>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</si>
  <si>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</si>
  <si>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</si>
  <si>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</si>
  <si>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</si>
  <si>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</si>
  <si>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</si>
  <si>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</si>
  <si>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</si>
  <si>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</si>
  <si>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</si>
  <si>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</si>
  <si>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</si>
  <si>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</si>
  <si>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</si>
  <si>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</si>
  <si>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</si>
  <si>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</si>
  <si>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</si>
  <si>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</si>
  <si>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</si>
  <si>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</si>
  <si>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</si>
  <si>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</si>
  <si>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</si>
  <si>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</si>
  <si>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</si>
  <si>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</si>
  <si>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</si>
  <si>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</si>
  <si>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</si>
  <si>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</si>
  <si>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</si>
  <si>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</si>
  <si>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</si>
  <si>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</si>
  <si>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</si>
  <si>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</si>
  <si>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</si>
  <si>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</si>
  <si>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</si>
  <si>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</si>
  <si>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</si>
  <si>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</si>
  <si>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</si>
  <si>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</si>
  <si>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</si>
  <si>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</si>
  <si>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</si>
  <si>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</si>
  <si>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</si>
  <si>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</si>
  <si>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</si>
  <si>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</si>
  <si>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</si>
  <si>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</si>
  <si>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</si>
  <si>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</si>
  <si>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</si>
  <si>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</si>
  <si>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</si>
  <si>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</si>
  <si>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</si>
  <si>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</si>
  <si>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</si>
  <si>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</si>
  <si>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</si>
  <si>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</si>
  <si>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</si>
  <si>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</si>
  <si>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</si>
  <si>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</si>
  <si>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</si>
  <si>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</si>
  <si>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</si>
  <si>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</si>
  <si>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</si>
  <si>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</si>
  <si>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</si>
  <si>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</si>
  <si>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</si>
  <si>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</si>
  <si>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</si>
  <si>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</si>
  <si>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</si>
  <si>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</si>
  <si>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</si>
  <si>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</si>
  <si>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</si>
  <si>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</si>
  <si>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</si>
  <si>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</si>
  <si>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</si>
  <si>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</si>
  <si>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</si>
  <si>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</si>
  <si>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</si>
  <si>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</si>
  <si>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</si>
  <si>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</si>
  <si>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</si>
  <si>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</si>
  <si>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</si>
  <si>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</si>
  <si>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</si>
  <si>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</si>
  <si>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</si>
  <si>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</si>
  <si>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</si>
  <si>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</si>
  <si>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</si>
  <si>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</si>
  <si>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</si>
  <si>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</si>
  <si>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</si>
  <si>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</si>
  <si>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</si>
  <si>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</si>
  <si>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</si>
  <si>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</si>
  <si>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</si>
  <si>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</si>
  <si>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</si>
  <si>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</si>
  <si>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</si>
  <si>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</si>
  <si>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</si>
  <si>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</si>
  <si>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</si>
  <si>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</si>
  <si>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</si>
  <si>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</si>
  <si>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</si>
  <si>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</si>
  <si>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</si>
  <si>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</si>
  <si>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</si>
  <si>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</si>
  <si>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</si>
  <si>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</si>
  <si>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</si>
  <si>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</si>
  <si>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</si>
  <si>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</si>
  <si>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</si>
  <si>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</si>
  <si>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</si>
  <si>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</si>
  <si>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</si>
  <si>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</si>
  <si>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</si>
  <si>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</si>
  <si>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</si>
  <si>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</si>
  <si>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</si>
  <si>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</si>
  <si>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</si>
  <si>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</si>
  <si>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</si>
  <si>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</si>
  <si>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</si>
  <si>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</si>
  <si>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</si>
  <si>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</si>
  <si>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</si>
  <si>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</si>
  <si>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</si>
  <si>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</si>
  <si>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</si>
  <si>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</si>
  <si>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</si>
  <si>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</si>
  <si>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</si>
  <si>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</si>
  <si>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</si>
  <si>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</si>
  <si>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</si>
  <si>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</si>
  <si>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</si>
  <si>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</si>
  <si>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</si>
  <si>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</si>
  <si>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</si>
  <si>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</si>
  <si>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</si>
  <si>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</si>
  <si>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</si>
  <si>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</si>
  <si>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</si>
  <si>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</si>
  <si>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</si>
  <si>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</si>
  <si>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</si>
  <si>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</si>
  <si>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</si>
  <si>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</si>
  <si>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</si>
  <si>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</si>
  <si>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</si>
  <si>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</si>
  <si>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</si>
  <si>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</si>
  <si>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</si>
  <si>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</si>
  <si>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</si>
  <si>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</si>
  <si>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</si>
  <si>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</si>
  <si>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</si>
  <si>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</si>
  <si>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</si>
  <si>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</si>
  <si>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</si>
  <si>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</si>
  <si>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</si>
  <si>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</si>
  <si>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</si>
  <si>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</si>
  <si>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</si>
  <si>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</si>
  <si>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</si>
  <si>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</si>
  <si>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</si>
  <si>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</si>
  <si>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</si>
  <si>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</si>
  <si>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</si>
  <si>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</si>
  <si>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</si>
  <si>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</si>
  <si>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</si>
  <si>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</si>
  <si>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</si>
  <si>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</si>
  <si>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</si>
  <si>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</si>
  <si>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</si>
  <si>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</si>
  <si>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</si>
  <si>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</si>
  <si>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</si>
  <si>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</si>
  <si>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</si>
  <si>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</si>
  <si>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</si>
  <si>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</si>
  <si>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</si>
  <si>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</si>
  <si>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</si>
  <si>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</si>
  <si>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</si>
  <si>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</si>
  <si>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</si>
  <si>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</si>
  <si>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</si>
  <si>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</si>
  <si>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</si>
  <si>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</si>
  <si>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</si>
  <si>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</si>
  <si>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</si>
  <si>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</si>
  <si>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</si>
  <si>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</si>
  <si>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</si>
  <si>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</si>
  <si>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</si>
  <si>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</si>
  <si>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</si>
  <si>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</si>
  <si>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</si>
  <si>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</si>
  <si>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</si>
  <si>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</si>
  <si>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</si>
  <si>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</si>
  <si>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</si>
  <si>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</si>
  <si>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</si>
  <si>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</si>
  <si>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</si>
  <si>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</si>
  <si>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</si>
  <si>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</si>
  <si>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</si>
  <si>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</si>
  <si>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</si>
  <si>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</si>
  <si>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</si>
  <si>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</si>
  <si>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</si>
  <si>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</si>
  <si>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</si>
  <si>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</si>
  <si>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</si>
  <si>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</si>
  <si>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</si>
  <si>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</si>
  <si>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</si>
  <si>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</si>
  <si>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</si>
  <si>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</si>
  <si>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</si>
  <si>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</si>
  <si>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</si>
  <si>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</si>
  <si>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</si>
  <si>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</si>
  <si>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</si>
  <si>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</si>
  <si>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</si>
  <si>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</si>
  <si>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</si>
  <si>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</si>
  <si>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</si>
  <si>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</si>
  <si>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</si>
  <si>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</si>
  <si>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</si>
  <si>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</si>
  <si>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</si>
  <si>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</si>
  <si>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</si>
  <si>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</si>
  <si>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</si>
  <si>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</si>
  <si>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</si>
  <si>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</si>
  <si>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</si>
  <si>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</si>
  <si>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</si>
  <si>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</si>
  <si>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</si>
  <si>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</si>
  <si>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</si>
  <si>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</si>
  <si>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</si>
  <si>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</si>
  <si>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</si>
  <si>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</si>
  <si>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</si>
  <si>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</si>
  <si>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</si>
  <si>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</si>
  <si>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</si>
  <si>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</si>
  <si>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</si>
  <si>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</si>
  <si>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</si>
  <si>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</si>
  <si>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</si>
  <si>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</si>
  <si>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</si>
  <si>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</si>
  <si>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</si>
  <si>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</si>
  <si>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</si>
  <si>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</si>
  <si>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</si>
  <si>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</si>
  <si>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</si>
  <si>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</si>
  <si>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</si>
  <si>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</si>
  <si>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</si>
  <si>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</si>
  <si>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</si>
  <si>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</si>
  <si>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</si>
  <si>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</si>
  <si>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</si>
  <si>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</si>
  <si>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</si>
  <si>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</si>
  <si>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</si>
  <si>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</si>
  <si>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</si>
  <si>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</si>
  <si>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</si>
  <si>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</si>
  <si>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</si>
  <si>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</si>
  <si>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</si>
  <si>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</si>
  <si>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</si>
  <si>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</si>
  <si>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</si>
  <si>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</si>
  <si>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</si>
  <si>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</si>
  <si>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</si>
  <si>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</si>
  <si>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</si>
  <si>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</si>
  <si>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</si>
  <si>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</si>
  <si>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</si>
  <si>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</si>
  <si>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</si>
  <si>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</si>
  <si>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</si>
  <si>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</si>
  <si>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</si>
  <si>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</si>
  <si>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</si>
  <si>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</si>
  <si>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</si>
  <si>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</si>
  <si>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</si>
  <si>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</si>
  <si>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</si>
  <si>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</si>
  <si>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</si>
  <si>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</si>
  <si>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</si>
  <si>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</si>
  <si>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</si>
  <si>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</si>
  <si>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</si>
  <si>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</si>
  <si>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</si>
  <si>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</si>
  <si>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</si>
  <si>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</si>
  <si>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</si>
  <si>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</si>
  <si>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</si>
  <si>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</si>
  <si>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</si>
  <si>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</si>
  <si>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</si>
  <si>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</si>
  <si>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</si>
  <si>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</si>
  <si>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</si>
  <si>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</si>
  <si>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</si>
  <si>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</si>
  <si>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</si>
  <si>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</si>
  <si>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</si>
  <si>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</si>
  <si>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</si>
  <si>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</si>
  <si>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</si>
  <si>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</si>
  <si>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</si>
  <si>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</si>
  <si>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</si>
  <si>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</si>
  <si>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</si>
  <si>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</si>
  <si>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</si>
  <si>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</si>
  <si>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</si>
  <si>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</si>
  <si>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</si>
  <si>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</si>
  <si>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</si>
  <si>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</si>
  <si>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</si>
  <si>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</si>
  <si>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</si>
  <si>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</si>
  <si>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</si>
  <si>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</si>
  <si>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</si>
  <si>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</si>
  <si>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</si>
  <si>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</si>
  <si>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</si>
  <si>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</si>
  <si>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</si>
  <si>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</si>
  <si>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</si>
  <si>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</si>
  <si>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</si>
  <si>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</si>
  <si>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</si>
  <si>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</si>
  <si>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</si>
  <si>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</si>
  <si>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</si>
  <si>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</si>
  <si>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</si>
  <si>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</si>
  <si>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</si>
  <si>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</si>
  <si>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</si>
  <si>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</si>
  <si>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</si>
  <si>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</si>
  <si>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</si>
  <si>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</si>
  <si>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</si>
  <si>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</si>
  <si>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</si>
  <si>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</si>
  <si>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</si>
  <si>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</si>
  <si>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</si>
  <si>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</si>
  <si>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</si>
  <si>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</si>
  <si>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</si>
  <si>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</si>
  <si>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</si>
  <si>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</si>
  <si>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</si>
  <si>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</si>
  <si>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</si>
  <si>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</si>
  <si>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</si>
  <si>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</si>
  <si>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</si>
  <si>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</si>
  <si>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</si>
  <si>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</si>
  <si>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</si>
  <si>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</si>
  <si>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</si>
  <si>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</si>
  <si>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</si>
  <si>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</si>
  <si>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</si>
  <si>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</si>
  <si>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</si>
  <si>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</si>
  <si>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</si>
  <si>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</si>
  <si>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</si>
  <si>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</si>
  <si>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</si>
  <si>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</si>
  <si>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</si>
  <si>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</si>
  <si>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</si>
  <si>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</si>
  <si>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</si>
  <si>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</si>
  <si>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</si>
  <si>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</si>
  <si>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</si>
  <si>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</si>
  <si>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</si>
  <si>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</si>
  <si>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</si>
  <si>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</si>
  <si>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</si>
  <si>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</si>
  <si>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</si>
  <si>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</si>
  <si>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</si>
  <si>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</si>
  <si>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</si>
  <si>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</si>
  <si>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</si>
  <si>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</si>
  <si>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</si>
  <si>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</si>
  <si>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</si>
  <si>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</si>
  <si>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</si>
  <si>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</si>
  <si>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</si>
  <si>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</si>
  <si>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</si>
  <si>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</si>
  <si>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</si>
  <si>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</si>
  <si>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</si>
  <si>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</si>
  <si>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</si>
  <si>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</si>
  <si>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</si>
  <si>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</si>
  <si>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</si>
  <si>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</si>
  <si>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</si>
  <si>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</si>
  <si>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</si>
  <si>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</si>
  <si>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</si>
  <si>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</si>
  <si>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</si>
  <si>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</si>
  <si>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</si>
  <si>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</si>
  <si>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</si>
  <si>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</si>
  <si>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</si>
  <si>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</si>
  <si>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</si>
  <si>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</si>
  <si>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</si>
  <si>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</si>
  <si>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</si>
  <si>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</si>
  <si>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</si>
  <si>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</si>
  <si>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</si>
  <si>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</si>
  <si>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</si>
  <si>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</si>
  <si>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</si>
  <si>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</si>
  <si>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</si>
  <si>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</si>
  <si>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</si>
  <si>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</si>
  <si>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</si>
  <si>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</si>
  <si>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</si>
  <si>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</si>
  <si>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</si>
  <si>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</si>
  <si>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</si>
  <si>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</si>
  <si>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</si>
  <si>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</si>
  <si>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</si>
  <si>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</si>
  <si>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</si>
  <si>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</si>
  <si>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</si>
  <si>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</si>
  <si>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</si>
  <si>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</si>
  <si>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</si>
  <si>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</si>
  <si>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</si>
  <si>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</si>
  <si>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</si>
  <si>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</si>
  <si>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</si>
  <si>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</si>
  <si>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</si>
  <si>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</si>
  <si>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</si>
  <si>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</si>
  <si>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</si>
  <si>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</si>
  <si>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</si>
  <si>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</si>
  <si>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</si>
  <si>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</si>
  <si>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</si>
  <si>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</si>
  <si>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</si>
  <si>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</si>
  <si>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</si>
  <si>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</si>
  <si>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</si>
  <si>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</si>
  <si>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</si>
  <si>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</si>
  <si>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</si>
  <si>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</si>
  <si>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</si>
  <si>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</si>
  <si>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</si>
  <si>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</si>
  <si>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</si>
  <si>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</si>
  <si>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</si>
  <si>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</si>
  <si>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</si>
  <si>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</si>
  <si>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</si>
  <si>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</si>
  <si>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</si>
  <si>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</si>
  <si>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</si>
  <si>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</si>
  <si>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</si>
  <si>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</si>
  <si>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</si>
  <si>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</si>
  <si>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</si>
  <si>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</si>
  <si>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</si>
  <si>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</si>
  <si>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</si>
  <si>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</si>
  <si>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</si>
  <si>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</si>
  <si>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</si>
  <si>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</si>
  <si>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</si>
  <si>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</si>
  <si>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</si>
  <si>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</si>
  <si>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</si>
  <si>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</si>
  <si>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</si>
  <si>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</si>
  <si>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</si>
  <si>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</si>
  <si>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</si>
  <si>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</si>
  <si>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</si>
  <si>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</si>
  <si>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</si>
  <si>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</si>
  <si>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</si>
  <si>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</si>
  <si>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</si>
  <si>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</si>
  <si>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</si>
  <si>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</si>
  <si>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</si>
  <si>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</si>
  <si>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</si>
  <si>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</si>
  <si>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</si>
  <si>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</si>
  <si>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</si>
  <si>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</si>
  <si>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</si>
  <si>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</si>
  <si>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</si>
  <si>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</si>
  <si>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</si>
  <si>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</si>
  <si>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</si>
  <si>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</si>
  <si>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</si>
  <si>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</si>
  <si>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</si>
  <si>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</si>
  <si>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</si>
  <si>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</si>
  <si>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</si>
  <si>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</si>
  <si>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</si>
  <si>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</si>
  <si>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</si>
  <si>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</si>
  <si>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</si>
  <si>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</si>
  <si>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</si>
  <si>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</si>
  <si>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</si>
  <si>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</si>
  <si>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</si>
  <si>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</si>
  <si>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</si>
  <si>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</si>
  <si>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</si>
  <si>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</si>
  <si>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</si>
  <si>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</si>
  <si>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</si>
  <si>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</si>
  <si>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</si>
  <si>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</si>
  <si>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</si>
  <si>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</si>
  <si>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</si>
  <si>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</si>
  <si>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</si>
  <si>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</si>
  <si>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</si>
  <si>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</si>
  <si>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</si>
  <si>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</si>
  <si>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</si>
  <si>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</si>
  <si>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</si>
  <si>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</si>
  <si>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</si>
  <si>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</si>
  <si>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</si>
  <si>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</si>
  <si>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</si>
  <si>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</si>
  <si>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</si>
  <si>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</si>
  <si>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</si>
  <si>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</si>
  <si>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</si>
  <si>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</si>
  <si>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</si>
  <si>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</si>
  <si>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</si>
  <si>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</si>
  <si>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</si>
  <si>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</si>
  <si>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</si>
  <si>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</si>
  <si>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</si>
  <si>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</si>
  <si>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</si>
  <si>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</si>
  <si>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</si>
  <si>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</si>
  <si>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</si>
  <si>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</si>
  <si>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</si>
  <si>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</si>
  <si>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</si>
  <si>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</si>
  <si>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</si>
  <si>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</si>
  <si>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</si>
  <si>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</si>
  <si>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</si>
  <si>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</si>
  <si>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</si>
  <si>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</si>
  <si>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</si>
  <si>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</si>
  <si>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</si>
  <si>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</si>
  <si>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</si>
  <si>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</si>
  <si>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</si>
  <si>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</si>
  <si>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</si>
  <si>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</si>
  <si>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</si>
  <si>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</si>
  <si>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</si>
  <si>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</si>
  <si>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</si>
  <si>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</si>
  <si>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</si>
  <si>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</si>
  <si>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</si>
  <si>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</si>
  <si>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</si>
  <si>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</si>
  <si>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</si>
  <si>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</si>
  <si>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</si>
  <si>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</si>
  <si>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</si>
  <si>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</si>
  <si>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</si>
  <si>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</si>
  <si>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</si>
  <si>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</si>
  <si>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</si>
  <si>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</si>
  <si>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</si>
  <si>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</si>
  <si>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</si>
  <si>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</si>
  <si>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</si>
  <si>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</si>
  <si>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</si>
  <si>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</si>
  <si>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</si>
  <si>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</si>
  <si>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</si>
  <si>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</si>
  <si>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</si>
  <si>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</si>
  <si>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</si>
  <si>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</si>
  <si>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</si>
  <si>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</si>
  <si>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</si>
  <si>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Harrisville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</si>
</sst>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selection activeCell="B3" sqref="B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235235</v>
      </c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47460.45-15996.28</f>
        <v>31464.17</v>
      </c>
      <c r="G9" s="18"/>
      <c r="H9" s="18">
        <f>9358.67+500</f>
        <v>9858.67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6951</v>
      </c>
      <c r="G10" s="18"/>
      <c r="H10" s="18"/>
      <c r="I10" s="18"/>
      <c r="J10" s="67">
        <f>SUM(I439)</f>
        <v>250533.88999999998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1591+22230.64</f>
        <v>23821.64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264.5</v>
      </c>
      <c r="G13" s="18">
        <v>2283.83</v>
      </c>
      <c r="H13" s="18">
        <v>31429.33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4312.8999999999996</v>
      </c>
      <c r="G14" s="18">
        <v>122.45</v>
      </c>
      <c r="H14" s="18">
        <v>3041.77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66814.209999999992</v>
      </c>
      <c r="G19" s="41">
        <f>SUM(G9:G18)</f>
        <v>2406.2799999999997</v>
      </c>
      <c r="H19" s="41">
        <f>SUM(H9:H18)</f>
        <v>44329.77</v>
      </c>
      <c r="I19" s="41">
        <f>SUM(I9:I18)</f>
        <v>0</v>
      </c>
      <c r="J19" s="41">
        <f>SUM(J9:J18)</f>
        <v>250533.88999999998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1591</v>
      </c>
      <c r="H22" s="18">
        <v>22230.639999999999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201.57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10316.23</v>
      </c>
      <c r="G24" s="18"/>
      <c r="H24" s="18">
        <f>3668.56+548.29</f>
        <v>4216.8500000000004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4617.8</v>
      </c>
      <c r="G28" s="18">
        <v>653.67999999999995</v>
      </c>
      <c r="H28" s="18">
        <f>5530.13+108</f>
        <v>5638.13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4900</v>
      </c>
      <c r="G30" s="18">
        <v>161.6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20035.599999999999</v>
      </c>
      <c r="G32" s="41">
        <f>SUM(G22:G31)</f>
        <v>2406.2799999999997</v>
      </c>
      <c r="H32" s="41">
        <f>SUM(H22:H31)</f>
        <v>32085.62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12244.15</v>
      </c>
      <c r="I47" s="18"/>
      <c r="J47" s="13">
        <f>SUM(I458)</f>
        <v>250533.88999999998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46778.61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46778.61</v>
      </c>
      <c r="G50" s="41">
        <f>SUM(G35:G49)</f>
        <v>0</v>
      </c>
      <c r="H50" s="41">
        <f>SUM(H35:H49)</f>
        <v>12244.15</v>
      </c>
      <c r="I50" s="41">
        <f>SUM(I35:I49)</f>
        <v>0</v>
      </c>
      <c r="J50" s="41">
        <f>SUM(J35:J49)</f>
        <v>250533.88999999998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66814.209999999992</v>
      </c>
      <c r="G51" s="41">
        <f>G50+G32</f>
        <v>2406.2799999999997</v>
      </c>
      <c r="H51" s="41">
        <f>H50+H32</f>
        <v>44329.77</v>
      </c>
      <c r="I51" s="41">
        <f>I50+I32</f>
        <v>0</v>
      </c>
      <c r="J51" s="41">
        <f>J50+J32</f>
        <v>250533.88999999998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1085376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1085376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>
        <f>14575.33+23935.03</f>
        <v>38510.36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1019.88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14700</v>
      </c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14700</v>
      </c>
      <c r="G78" s="45" t="s">
        <v>289</v>
      </c>
      <c r="H78" s="41">
        <f>SUM(H62:H77)</f>
        <v>39530.239999999998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177.36</v>
      </c>
      <c r="G95" s="18"/>
      <c r="H95" s="18"/>
      <c r="I95" s="18"/>
      <c r="J95" s="18">
        <f>79.08+93.97</f>
        <v>173.05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5968.98+2483.01+65.65+1074.45+844.45+51</f>
        <v>10487.54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4724.5200000000004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51622.15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1687.81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2079.99+5162.36</f>
        <v>7242.3499999999995</v>
      </c>
      <c r="G109" s="18">
        <v>8.25</v>
      </c>
      <c r="H109" s="18">
        <v>969.9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60729.67</v>
      </c>
      <c r="G110" s="41">
        <f>SUM(G95:G109)</f>
        <v>10495.79</v>
      </c>
      <c r="H110" s="41">
        <f>SUM(H95:H109)</f>
        <v>5694.42</v>
      </c>
      <c r="I110" s="41">
        <f>SUM(I95:I109)</f>
        <v>0</v>
      </c>
      <c r="J110" s="41">
        <f>SUM(J95:J109)</f>
        <v>173.05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1160805.67</v>
      </c>
      <c r="G111" s="41">
        <f>G59+G110</f>
        <v>10495.79</v>
      </c>
      <c r="H111" s="41">
        <f>H59+H78+H93+H110</f>
        <v>45224.659999999996</v>
      </c>
      <c r="I111" s="41">
        <f>I59+I110</f>
        <v>0</v>
      </c>
      <c r="J111" s="41">
        <f>J59+J110</f>
        <v>173.05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13345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504999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518344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201.54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201.54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518344</v>
      </c>
      <c r="G139" s="41">
        <f>G120+SUM(G135:G136)</f>
        <v>201.54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4458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3540.68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864.24+2687.39+202052.44</f>
        <v>205604.07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9399.85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13271.48+2620.39</f>
        <v>15891.869999999999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4257.3599999999997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4257.3599999999997</v>
      </c>
      <c r="G161" s="41">
        <f>SUM(G149:G160)</f>
        <v>9399.85</v>
      </c>
      <c r="H161" s="41">
        <f>SUM(H149:H160)</f>
        <v>229494.62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4257.3599999999997</v>
      </c>
      <c r="G168" s="41">
        <f>G146+G161+SUM(G162:G167)</f>
        <v>9399.85</v>
      </c>
      <c r="H168" s="41">
        <f>H146+H161+SUM(H162:H167)</f>
        <v>229494.62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11560.09</v>
      </c>
      <c r="H178" s="18"/>
      <c r="I178" s="18"/>
      <c r="J178" s="18">
        <v>25000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11560.09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11560.09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1683407.03</v>
      </c>
      <c r="G192" s="47">
        <f>G111+G139+G168+G191</f>
        <v>31657.27</v>
      </c>
      <c r="H192" s="47">
        <f>H111+H139+H168+H191</f>
        <v>274719.27999999997</v>
      </c>
      <c r="I192" s="47">
        <f>I111+I139+I168+I191</f>
        <v>0</v>
      </c>
      <c r="J192" s="47">
        <f>J111+J139+J191</f>
        <v>25173.05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346760.99</v>
      </c>
      <c r="G196" s="18">
        <v>111650.11</v>
      </c>
      <c r="H196" s="18">
        <v>4736.58</v>
      </c>
      <c r="I196" s="18">
        <v>6893.75</v>
      </c>
      <c r="J196" s="18">
        <v>5027.93</v>
      </c>
      <c r="K196" s="18"/>
      <c r="L196" s="19">
        <f>SUM(F196:K196)</f>
        <v>475069.36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54824.52</v>
      </c>
      <c r="G197" s="18">
        <v>20453.169999999998</v>
      </c>
      <c r="H197" s="18">
        <v>10974.79</v>
      </c>
      <c r="I197" s="18"/>
      <c r="J197" s="18">
        <v>635.78</v>
      </c>
      <c r="K197" s="18"/>
      <c r="L197" s="19">
        <f>SUM(F197:K197)</f>
        <v>86888.260000000009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300</v>
      </c>
      <c r="G199" s="18">
        <v>24</v>
      </c>
      <c r="H199" s="18"/>
      <c r="I199" s="18">
        <v>387.77</v>
      </c>
      <c r="J199" s="18"/>
      <c r="K199" s="18">
        <v>100</v>
      </c>
      <c r="L199" s="19">
        <f>SUM(F199:K199)</f>
        <v>811.77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27832.74+10870.08</f>
        <v>38702.82</v>
      </c>
      <c r="G201" s="18">
        <f>2226.64+869.44</f>
        <v>3096.08</v>
      </c>
      <c r="H201" s="18">
        <f>250+545+11730.37+10548.9+17640+5544.5</f>
        <v>46258.770000000004</v>
      </c>
      <c r="I201" s="18">
        <f>389.65+299.26+344.98</f>
        <v>1033.8899999999999</v>
      </c>
      <c r="J201" s="18"/>
      <c r="K201" s="18"/>
      <c r="L201" s="19">
        <f t="shared" ref="L201:L207" si="0">SUM(F201:K201)</f>
        <v>89091.560000000012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515+11269.18</f>
        <v>11784.18</v>
      </c>
      <c r="G202" s="18">
        <f>41.19+901.42</f>
        <v>942.6099999999999</v>
      </c>
      <c r="H202" s="18">
        <f>1435.14+250</f>
        <v>1685.14</v>
      </c>
      <c r="I202" s="18">
        <f>499.93+2021.44</f>
        <v>2521.37</v>
      </c>
      <c r="J202" s="18"/>
      <c r="K202" s="18">
        <v>499</v>
      </c>
      <c r="L202" s="19">
        <f t="shared" si="0"/>
        <v>17432.3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2931.5+2000</f>
        <v>4931.5</v>
      </c>
      <c r="G203" s="18">
        <f>233.53+160</f>
        <v>393.53</v>
      </c>
      <c r="H203" s="18">
        <f>4278.88+250+5500+1350+250+127153</f>
        <v>138781.88</v>
      </c>
      <c r="I203" s="18">
        <v>1152.3</v>
      </c>
      <c r="J203" s="18"/>
      <c r="K203" s="18">
        <v>2640.5</v>
      </c>
      <c r="L203" s="19">
        <f t="shared" si="0"/>
        <v>147899.71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63974.720000000001</v>
      </c>
      <c r="G204" s="18">
        <v>38566.49</v>
      </c>
      <c r="H204" s="18">
        <v>10675.29</v>
      </c>
      <c r="I204" s="18">
        <f>589+158.61</f>
        <v>747.61</v>
      </c>
      <c r="J204" s="18"/>
      <c r="K204" s="18">
        <v>599</v>
      </c>
      <c r="L204" s="19">
        <f t="shared" si="0"/>
        <v>114563.11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40033.129999999997</v>
      </c>
      <c r="G206" s="18">
        <v>25930.639999999999</v>
      </c>
      <c r="H206" s="18">
        <v>11297.63</v>
      </c>
      <c r="I206" s="18">
        <v>39236.019999999997</v>
      </c>
      <c r="J206" s="18"/>
      <c r="K206" s="18"/>
      <c r="L206" s="19">
        <f t="shared" si="0"/>
        <v>116497.41999999998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49480.21+16492.73</f>
        <v>65972.94</v>
      </c>
      <c r="I207" s="18"/>
      <c r="J207" s="18"/>
      <c r="K207" s="18"/>
      <c r="L207" s="19">
        <f t="shared" si="0"/>
        <v>65972.94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869</v>
      </c>
      <c r="I208" s="18"/>
      <c r="J208" s="18"/>
      <c r="K208" s="18"/>
      <c r="L208" s="19">
        <f>SUM(F208:K208)</f>
        <v>869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561311.86</v>
      </c>
      <c r="G210" s="41">
        <f t="shared" si="1"/>
        <v>201056.62999999995</v>
      </c>
      <c r="H210" s="41">
        <f t="shared" si="1"/>
        <v>291252.02</v>
      </c>
      <c r="I210" s="41">
        <f t="shared" si="1"/>
        <v>51972.709999999992</v>
      </c>
      <c r="J210" s="41">
        <f t="shared" si="1"/>
        <v>5663.71</v>
      </c>
      <c r="K210" s="41">
        <f t="shared" si="1"/>
        <v>3838.5</v>
      </c>
      <c r="L210" s="41">
        <f t="shared" si="1"/>
        <v>1115095.43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139447</v>
      </c>
      <c r="I214" s="18"/>
      <c r="J214" s="18"/>
      <c r="K214" s="18"/>
      <c r="L214" s="19">
        <f>SUM(F214:K214)</f>
        <v>139447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113168.55</v>
      </c>
      <c r="I215" s="18"/>
      <c r="J215" s="18"/>
      <c r="K215" s="18"/>
      <c r="L215" s="19">
        <f>SUM(F215:K215)</f>
        <v>113168.55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16493.73</v>
      </c>
      <c r="I225" s="18"/>
      <c r="J225" s="18"/>
      <c r="K225" s="18"/>
      <c r="L225" s="19">
        <f t="shared" si="2"/>
        <v>16493.73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269109.27999999997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269109.27999999997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202122.06</v>
      </c>
      <c r="I232" s="18"/>
      <c r="J232" s="18"/>
      <c r="K232" s="18"/>
      <c r="L232" s="19">
        <f>SUM(F232:K232)</f>
        <v>202122.06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113979.74</v>
      </c>
      <c r="I233" s="18"/>
      <c r="J233" s="18"/>
      <c r="K233" s="18"/>
      <c r="L233" s="19">
        <f>SUM(F233:K233)</f>
        <v>113979.74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16493.73</v>
      </c>
      <c r="I243" s="18"/>
      <c r="J243" s="18"/>
      <c r="K243" s="18"/>
      <c r="L243" s="19">
        <f t="shared" si="4"/>
        <v>16493.73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332595.52999999997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332595.52999999997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561311.86</v>
      </c>
      <c r="G256" s="41">
        <f t="shared" si="8"/>
        <v>201056.62999999995</v>
      </c>
      <c r="H256" s="41">
        <f t="shared" si="8"/>
        <v>892956.83000000007</v>
      </c>
      <c r="I256" s="41">
        <f t="shared" si="8"/>
        <v>51972.709999999992</v>
      </c>
      <c r="J256" s="41">
        <f t="shared" si="8"/>
        <v>5663.71</v>
      </c>
      <c r="K256" s="41">
        <f t="shared" si="8"/>
        <v>3838.5</v>
      </c>
      <c r="L256" s="41">
        <f t="shared" si="8"/>
        <v>1716800.24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11560.09</v>
      </c>
      <c r="L262" s="19">
        <f>SUM(F262:K262)</f>
        <v>11560.09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36560.089999999997</v>
      </c>
      <c r="L269" s="41">
        <f t="shared" si="9"/>
        <v>36560.089999999997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561311.86</v>
      </c>
      <c r="G270" s="42">
        <f t="shared" si="11"/>
        <v>201056.62999999995</v>
      </c>
      <c r="H270" s="42">
        <f t="shared" si="11"/>
        <v>892956.83000000007</v>
      </c>
      <c r="I270" s="42">
        <f t="shared" si="11"/>
        <v>51972.709999999992</v>
      </c>
      <c r="J270" s="42">
        <f t="shared" si="11"/>
        <v>5663.71</v>
      </c>
      <c r="K270" s="42">
        <f t="shared" si="11"/>
        <v>40398.589999999997</v>
      </c>
      <c r="L270" s="42">
        <f t="shared" si="11"/>
        <v>1753360.33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2185+16597+6771+17720.5+19515+2185+303+400+772</f>
        <v>66448.5</v>
      </c>
      <c r="G275" s="18">
        <f>167.15+7.65+1787.69+81.78+2848.58+130.44+190.34+8.71+89.67+4.11</f>
        <v>5316.12</v>
      </c>
      <c r="H275" s="18">
        <v>158</v>
      </c>
      <c r="I275" s="18">
        <f>332.92+573+484.7+3567.62+8919.31</f>
        <v>13877.55</v>
      </c>
      <c r="J275" s="18">
        <f>499+499+199.46+910.31+488.34+2228.69</f>
        <v>4824.8</v>
      </c>
      <c r="K275" s="18"/>
      <c r="L275" s="19">
        <f>SUM(F275:K275)</f>
        <v>90624.97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10800</v>
      </c>
      <c r="G276" s="18">
        <f>826.2+42</f>
        <v>868.2</v>
      </c>
      <c r="H276" s="18"/>
      <c r="I276" s="18">
        <f>1530.46+427.13+297.83</f>
        <v>2255.42</v>
      </c>
      <c r="J276" s="18">
        <v>207.36</v>
      </c>
      <c r="K276" s="18"/>
      <c r="L276" s="19">
        <f>SUM(F276:K276)</f>
        <v>14130.980000000001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735+1570</f>
        <v>2305</v>
      </c>
      <c r="G278" s="18">
        <f>56.22+2.57+120.11+5.5</f>
        <v>184.4</v>
      </c>
      <c r="H278" s="18">
        <f>2135+12429.25+13462.75</f>
        <v>28027</v>
      </c>
      <c r="I278" s="18">
        <f>1660.03+4189.26</f>
        <v>5849.29</v>
      </c>
      <c r="J278" s="18"/>
      <c r="K278" s="18"/>
      <c r="L278" s="19">
        <f>SUM(F278:K278)</f>
        <v>36365.69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399.5+181.5</f>
        <v>581</v>
      </c>
      <c r="G281" s="18">
        <f>30.57+1.4+13.9+0.63</f>
        <v>46.5</v>
      </c>
      <c r="H281" s="18">
        <f>150+2070+168.36+952.5+474.56+952.5+525.41+97.5+153.65+357.5+77.23+805</f>
        <v>6784.2099999999991</v>
      </c>
      <c r="I281" s="18">
        <f>629.55+1750+8.6+21.05</f>
        <v>2409.2000000000003</v>
      </c>
      <c r="J281" s="18"/>
      <c r="K281" s="18"/>
      <c r="L281" s="19">
        <f t="shared" si="12"/>
        <v>9820.91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12470.02+880.83+30529.98+1936.17</f>
        <v>45817</v>
      </c>
      <c r="G282" s="18">
        <f>5113.6+188.56+19.8+48.63+1014.55+1409.07+46.68+12519.4+461.44+48.6+119.07+2467.06+3449.93+113.63</f>
        <v>27020.02</v>
      </c>
      <c r="H282" s="18">
        <f>844.41+2067.41+743.64+1820.63</f>
        <v>5476.09</v>
      </c>
      <c r="I282" s="18">
        <f>6500+6500+164.26</f>
        <v>13164.26</v>
      </c>
      <c r="J282" s="18">
        <f>381.35+933.65</f>
        <v>1315</v>
      </c>
      <c r="K282" s="18">
        <f>207.2+633.75</f>
        <v>840.95</v>
      </c>
      <c r="L282" s="19">
        <f t="shared" si="12"/>
        <v>93633.319999999992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9464.06</v>
      </c>
      <c r="L284" s="19">
        <f t="shared" si="12"/>
        <v>9464.06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325.23</v>
      </c>
      <c r="I286" s="18"/>
      <c r="J286" s="18"/>
      <c r="K286" s="18"/>
      <c r="L286" s="19">
        <f t="shared" si="12"/>
        <v>325.23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1200</v>
      </c>
      <c r="I287" s="18"/>
      <c r="J287" s="18"/>
      <c r="K287" s="18"/>
      <c r="L287" s="19">
        <f>SUM(F287:K287)</f>
        <v>1200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125951.5</v>
      </c>
      <c r="G289" s="42">
        <f t="shared" si="13"/>
        <v>33435.24</v>
      </c>
      <c r="H289" s="42">
        <f t="shared" si="13"/>
        <v>41970.530000000006</v>
      </c>
      <c r="I289" s="42">
        <f t="shared" si="13"/>
        <v>37555.72</v>
      </c>
      <c r="J289" s="42">
        <f t="shared" si="13"/>
        <v>6347.16</v>
      </c>
      <c r="K289" s="42">
        <f t="shared" si="13"/>
        <v>10305.01</v>
      </c>
      <c r="L289" s="41">
        <f t="shared" si="13"/>
        <v>255565.16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125951.5</v>
      </c>
      <c r="G337" s="41">
        <f t="shared" si="20"/>
        <v>33435.24</v>
      </c>
      <c r="H337" s="41">
        <f t="shared" si="20"/>
        <v>41970.530000000006</v>
      </c>
      <c r="I337" s="41">
        <f t="shared" si="20"/>
        <v>37555.72</v>
      </c>
      <c r="J337" s="41">
        <f t="shared" si="20"/>
        <v>6347.16</v>
      </c>
      <c r="K337" s="41">
        <f t="shared" si="20"/>
        <v>10305.01</v>
      </c>
      <c r="L337" s="41">
        <f t="shared" si="20"/>
        <v>255565.16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125951.5</v>
      </c>
      <c r="G351" s="41">
        <f>G337</f>
        <v>33435.24</v>
      </c>
      <c r="H351" s="41">
        <f>H337</f>
        <v>41970.530000000006</v>
      </c>
      <c r="I351" s="41">
        <f>I337</f>
        <v>37555.72</v>
      </c>
      <c r="J351" s="41">
        <f>J337</f>
        <v>6347.16</v>
      </c>
      <c r="K351" s="47">
        <f>K337+K350</f>
        <v>10305.01</v>
      </c>
      <c r="L351" s="41">
        <f>L337+L350</f>
        <v>255565.16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13378.58</v>
      </c>
      <c r="G357" s="18">
        <f>1023.5+46.82</f>
        <v>1070.32</v>
      </c>
      <c r="H357" s="18">
        <f>4500+688.09+273.06</f>
        <v>5461.1500000000005</v>
      </c>
      <c r="I357" s="18">
        <f>748.12+10738.85</f>
        <v>11486.970000000001</v>
      </c>
      <c r="J357" s="18"/>
      <c r="K357" s="18">
        <v>260.25</v>
      </c>
      <c r="L357" s="13">
        <f>SUM(F357:K357)</f>
        <v>31657.27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13378.58</v>
      </c>
      <c r="G361" s="47">
        <f t="shared" si="22"/>
        <v>1070.32</v>
      </c>
      <c r="H361" s="47">
        <f t="shared" si="22"/>
        <v>5461.1500000000005</v>
      </c>
      <c r="I361" s="47">
        <f t="shared" si="22"/>
        <v>11486.970000000001</v>
      </c>
      <c r="J361" s="47">
        <f t="shared" si="22"/>
        <v>0</v>
      </c>
      <c r="K361" s="47">
        <f t="shared" si="22"/>
        <v>260.25</v>
      </c>
      <c r="L361" s="47">
        <f t="shared" si="22"/>
        <v>31657.27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10738.85</v>
      </c>
      <c r="G366" s="18"/>
      <c r="H366" s="18"/>
      <c r="I366" s="56">
        <f>SUM(F366:H366)</f>
        <v>10738.85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748.12</v>
      </c>
      <c r="G367" s="63"/>
      <c r="H367" s="63"/>
      <c r="I367" s="56">
        <f>SUM(F367:H367)</f>
        <v>748.12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11486.970000000001</v>
      </c>
      <c r="G368" s="47">
        <f>SUM(G366:G367)</f>
        <v>0</v>
      </c>
      <c r="H368" s="47">
        <f>SUM(H366:H367)</f>
        <v>0</v>
      </c>
      <c r="I368" s="47">
        <f>SUM(I366:I367)</f>
        <v>11486.970000000001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25000</v>
      </c>
      <c r="H388" s="18">
        <v>93.97</v>
      </c>
      <c r="I388" s="18"/>
      <c r="J388" s="24" t="s">
        <v>289</v>
      </c>
      <c r="K388" s="24" t="s">
        <v>289</v>
      </c>
      <c r="L388" s="56">
        <f t="shared" si="25"/>
        <v>25093.97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25000</v>
      </c>
      <c r="H392" s="139">
        <f>SUM(H386:H391)</f>
        <v>93.97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25093.97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79.08</v>
      </c>
      <c r="I397" s="18"/>
      <c r="J397" s="24" t="s">
        <v>289</v>
      </c>
      <c r="K397" s="24" t="s">
        <v>289</v>
      </c>
      <c r="L397" s="56">
        <f t="shared" si="26"/>
        <v>79.08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79.08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79.08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173.05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25173.050000000003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143941.96</f>
        <v>143941.96</v>
      </c>
      <c r="G439" s="18">
        <v>106591.93</v>
      </c>
      <c r="H439" s="18"/>
      <c r="I439" s="56">
        <f t="shared" si="33"/>
        <v>250533.88999999998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143941.96</v>
      </c>
      <c r="G445" s="13">
        <f>SUM(G438:G444)</f>
        <v>106591.93</v>
      </c>
      <c r="H445" s="13">
        <f>SUM(H438:H444)</f>
        <v>0</v>
      </c>
      <c r="I445" s="13">
        <f>SUM(I438:I444)</f>
        <v>250533.88999999998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143941.96</v>
      </c>
      <c r="G458" s="18">
        <v>106591.93</v>
      </c>
      <c r="H458" s="18"/>
      <c r="I458" s="56">
        <f t="shared" si="34"/>
        <v>250533.88999999998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143941.96</v>
      </c>
      <c r="G459" s="83">
        <f>SUM(G453:G458)</f>
        <v>106591.93</v>
      </c>
      <c r="H459" s="83">
        <f>SUM(H453:H458)</f>
        <v>0</v>
      </c>
      <c r="I459" s="83">
        <f>SUM(I453:I458)</f>
        <v>250533.88999999998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143941.96</v>
      </c>
      <c r="G460" s="42">
        <f>G451+G459</f>
        <v>106591.93</v>
      </c>
      <c r="H460" s="42">
        <f>H451+H459</f>
        <v>0</v>
      </c>
      <c r="I460" s="42">
        <f>I451+I459</f>
        <v>250533.88999999998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116731.91</v>
      </c>
      <c r="G464" s="18">
        <v>0</v>
      </c>
      <c r="H464" s="18">
        <v>-6909.97</v>
      </c>
      <c r="I464" s="18">
        <v>0</v>
      </c>
      <c r="J464" s="18">
        <v>225360.84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1683407.03</v>
      </c>
      <c r="G467" s="18">
        <v>31657.27</v>
      </c>
      <c r="H467" s="18">
        <f>229494.62+45224.66</f>
        <v>274719.28000000003</v>
      </c>
      <c r="I467" s="18">
        <v>0</v>
      </c>
      <c r="J467" s="18">
        <f>79.08+25000+93.97</f>
        <v>25173.050000000003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1683407.03</v>
      </c>
      <c r="G469" s="53">
        <f>SUM(G467:G468)</f>
        <v>31657.27</v>
      </c>
      <c r="H469" s="53">
        <f>SUM(H467:H468)</f>
        <v>274719.28000000003</v>
      </c>
      <c r="I469" s="53">
        <f>SUM(I467:I468)</f>
        <v>0</v>
      </c>
      <c r="J469" s="53">
        <f>SUM(J467:J468)</f>
        <v>25173.050000000003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1753360.33</v>
      </c>
      <c r="G471" s="18">
        <v>31657.27</v>
      </c>
      <c r="H471" s="18">
        <f>229494.62+26070.54</f>
        <v>255565.16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1753360.33</v>
      </c>
      <c r="G473" s="53">
        <f>SUM(G471:G472)</f>
        <v>31657.27</v>
      </c>
      <c r="H473" s="53">
        <f>SUM(H471:H472)</f>
        <v>255565.16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46778.60999999987</v>
      </c>
      <c r="G475" s="53">
        <f>(G464+G469)- G473</f>
        <v>0</v>
      </c>
      <c r="H475" s="53">
        <f>(H464+H469)- H473</f>
        <v>12244.150000000052</v>
      </c>
      <c r="I475" s="53">
        <f>(I464+I469)- I473</f>
        <v>0</v>
      </c>
      <c r="J475" s="53">
        <f>(J464+J469)- J473</f>
        <v>250533.89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29132.99+25691.53+10800</f>
        <v>65624.52</v>
      </c>
      <c r="G520" s="18">
        <f>13307.4+550+71.51+90.82+4025.64+2220.16+187.64+826.2+42</f>
        <v>21321.37</v>
      </c>
      <c r="H520" s="18">
        <v>2777</v>
      </c>
      <c r="I520" s="18">
        <f>1530.46+427.13+297.83</f>
        <v>2255.42</v>
      </c>
      <c r="J520" s="18">
        <f>635.78+207.36</f>
        <v>843.14</v>
      </c>
      <c r="K520" s="18"/>
      <c r="L520" s="88">
        <f>SUM(F520:K520)</f>
        <v>92821.45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113168.55</v>
      </c>
      <c r="I521" s="18"/>
      <c r="J521" s="18"/>
      <c r="K521" s="18"/>
      <c r="L521" s="88">
        <f>SUM(F521:K521)</f>
        <v>113168.55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113979.74</v>
      </c>
      <c r="I522" s="18"/>
      <c r="J522" s="18"/>
      <c r="K522" s="18"/>
      <c r="L522" s="88">
        <f>SUM(F522:K522)</f>
        <v>113979.74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65624.52</v>
      </c>
      <c r="G523" s="108">
        <f t="shared" ref="G523:L523" si="36">SUM(G520:G522)</f>
        <v>21321.37</v>
      </c>
      <c r="H523" s="108">
        <f t="shared" si="36"/>
        <v>229925.29</v>
      </c>
      <c r="I523" s="108">
        <f t="shared" si="36"/>
        <v>2255.42</v>
      </c>
      <c r="J523" s="108">
        <f t="shared" si="36"/>
        <v>843.14</v>
      </c>
      <c r="K523" s="108">
        <f t="shared" si="36"/>
        <v>0</v>
      </c>
      <c r="L523" s="89">
        <f t="shared" si="36"/>
        <v>319969.74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157.5+11730.37+10548.9+17640+5544.5+805+250</f>
        <v>46676.270000000004</v>
      </c>
      <c r="I525" s="18">
        <v>344.98</v>
      </c>
      <c r="J525" s="18"/>
      <c r="K525" s="18"/>
      <c r="L525" s="88">
        <f>SUM(F525:K525)</f>
        <v>47021.250000000007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46676.270000000004</v>
      </c>
      <c r="I528" s="89">
        <f t="shared" si="37"/>
        <v>344.98</v>
      </c>
      <c r="J528" s="89">
        <f t="shared" si="37"/>
        <v>0</v>
      </c>
      <c r="K528" s="89">
        <f t="shared" si="37"/>
        <v>0</v>
      </c>
      <c r="L528" s="89">
        <f t="shared" si="37"/>
        <v>47021.250000000007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12076</v>
      </c>
      <c r="I530" s="18"/>
      <c r="J530" s="18"/>
      <c r="K530" s="18">
        <v>798.28</v>
      </c>
      <c r="L530" s="88">
        <f>SUM(F530:K530)</f>
        <v>12874.28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12076</v>
      </c>
      <c r="I533" s="89">
        <f t="shared" si="38"/>
        <v>0</v>
      </c>
      <c r="J533" s="89">
        <f t="shared" si="38"/>
        <v>0</v>
      </c>
      <c r="K533" s="89">
        <f t="shared" si="38"/>
        <v>798.28</v>
      </c>
      <c r="L533" s="89">
        <f t="shared" si="38"/>
        <v>12874.28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65624.52</v>
      </c>
      <c r="G544" s="89">
        <f t="shared" ref="G544:L544" si="41">G523+G528+G533+G538+G543</f>
        <v>21321.37</v>
      </c>
      <c r="H544" s="89">
        <f t="shared" si="41"/>
        <v>288677.56</v>
      </c>
      <c r="I544" s="89">
        <f t="shared" si="41"/>
        <v>2600.4</v>
      </c>
      <c r="J544" s="89">
        <f t="shared" si="41"/>
        <v>843.14</v>
      </c>
      <c r="K544" s="89">
        <f t="shared" si="41"/>
        <v>798.28</v>
      </c>
      <c r="L544" s="89">
        <f t="shared" si="41"/>
        <v>379865.27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92821.45</v>
      </c>
      <c r="G548" s="87">
        <f>L525</f>
        <v>47021.250000000007</v>
      </c>
      <c r="H548" s="87">
        <f>L530</f>
        <v>12874.28</v>
      </c>
      <c r="I548" s="87">
        <f>L535</f>
        <v>0</v>
      </c>
      <c r="J548" s="87">
        <f>L540</f>
        <v>0</v>
      </c>
      <c r="K548" s="87">
        <f>SUM(F548:J548)</f>
        <v>152716.98000000001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113168.55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113168.55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113979.74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113979.74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319969.74</v>
      </c>
      <c r="G551" s="89">
        <f t="shared" si="42"/>
        <v>47021.250000000007</v>
      </c>
      <c r="H551" s="89">
        <f t="shared" si="42"/>
        <v>12874.28</v>
      </c>
      <c r="I551" s="89">
        <f t="shared" si="42"/>
        <v>0</v>
      </c>
      <c r="J551" s="89">
        <f t="shared" si="42"/>
        <v>0</v>
      </c>
      <c r="K551" s="89">
        <f t="shared" si="42"/>
        <v>379865.27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139447</v>
      </c>
      <c r="H574" s="18">
        <v>202122.06</v>
      </c>
      <c r="I574" s="87">
        <f>SUM(F574:H574)</f>
        <v>341569.06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8197.7900000000009</v>
      </c>
      <c r="G578" s="18">
        <v>113168.55</v>
      </c>
      <c r="H578" s="18">
        <v>113979.74</v>
      </c>
      <c r="I578" s="87">
        <f t="shared" si="47"/>
        <v>235346.08000000002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49480.21+16492.73</f>
        <v>65972.94</v>
      </c>
      <c r="I590" s="18">
        <v>16493.73</v>
      </c>
      <c r="J590" s="18">
        <v>16493.73</v>
      </c>
      <c r="K590" s="104">
        <f t="shared" ref="K590:K596" si="48">SUM(H590:J590)</f>
        <v>98960.4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65972.94</v>
      </c>
      <c r="I597" s="108">
        <f>SUM(I590:I596)</f>
        <v>16493.73</v>
      </c>
      <c r="J597" s="108">
        <f>SUM(J590:J596)</f>
        <v>16493.73</v>
      </c>
      <c r="K597" s="108">
        <f>SUM(K590:K596)</f>
        <v>98960.4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8184.07+3826.8</f>
        <v>12010.869999999999</v>
      </c>
      <c r="I603" s="18"/>
      <c r="J603" s="18"/>
      <c r="K603" s="104">
        <f>SUM(H603:J603)</f>
        <v>12010.869999999999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12010.869999999999</v>
      </c>
      <c r="I604" s="108">
        <f>SUM(I601:I603)</f>
        <v>0</v>
      </c>
      <c r="J604" s="108">
        <f>SUM(J601:J603)</f>
        <v>0</v>
      </c>
      <c r="K604" s="108">
        <f>SUM(K601:K603)</f>
        <v>12010.869999999999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300</v>
      </c>
      <c r="G610" s="18">
        <v>24</v>
      </c>
      <c r="H610" s="18"/>
      <c r="I610" s="18"/>
      <c r="J610" s="18"/>
      <c r="K610" s="18"/>
      <c r="L610" s="88">
        <f>SUM(F610:K610)</f>
        <v>324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300</v>
      </c>
      <c r="G613" s="108">
        <f t="shared" si="49"/>
        <v>24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324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66814.209999999992</v>
      </c>
      <c r="H616" s="109">
        <f>SUM(F51)</f>
        <v>66814.209999999992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2406.2799999999997</v>
      </c>
      <c r="H617" s="109">
        <f>SUM(G51)</f>
        <v>2406.2799999999997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44329.77</v>
      </c>
      <c r="H618" s="109">
        <f>SUM(H51)</f>
        <v>44329.77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250533.88999999998</v>
      </c>
      <c r="H620" s="109">
        <f>SUM(J51)</f>
        <v>250533.88999999998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46778.61</v>
      </c>
      <c r="H621" s="109">
        <f>F475</f>
        <v>46778.60999999987</v>
      </c>
      <c r="I621" s="121" t="s">
        <v>101</v>
      </c>
      <c r="J621" s="109">
        <f t="shared" ref="J621:J654" si="50">G621-H621</f>
        <v>1.3096723705530167E-10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12244.15</v>
      </c>
      <c r="H623" s="109">
        <f>H475</f>
        <v>12244.150000000052</v>
      </c>
      <c r="I623" s="121" t="s">
        <v>103</v>
      </c>
      <c r="J623" s="109">
        <f t="shared" si="50"/>
        <v>-5.2750692702829838E-11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250533.88999999998</v>
      </c>
      <c r="H625" s="109">
        <f>J475</f>
        <v>250533.89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1683407.03</v>
      </c>
      <c r="H626" s="104">
        <f>SUM(F467)</f>
        <v>1683407.03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31657.27</v>
      </c>
      <c r="H627" s="104">
        <f>SUM(G467)</f>
        <v>31657.27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274719.27999999997</v>
      </c>
      <c r="H628" s="104">
        <f>SUM(H467)</f>
        <v>274719.28000000003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25173.05</v>
      </c>
      <c r="H630" s="104">
        <f>SUM(J467)</f>
        <v>25173.050000000003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1753360.33</v>
      </c>
      <c r="H631" s="104">
        <f>SUM(F471)</f>
        <v>1753360.33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255565.16</v>
      </c>
      <c r="H632" s="104">
        <f>SUM(H471)</f>
        <v>255565.16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11486.970000000001</v>
      </c>
      <c r="H633" s="104">
        <f>I368</f>
        <v>11486.970000000001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31657.27</v>
      </c>
      <c r="H634" s="104">
        <f>SUM(G471)</f>
        <v>31657.27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25173.050000000003</v>
      </c>
      <c r="H636" s="164">
        <f>SUM(J467)</f>
        <v>25173.050000000003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143941.96</v>
      </c>
      <c r="H638" s="104">
        <f>SUM(F460)</f>
        <v>143941.96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106591.93</v>
      </c>
      <c r="H639" s="104">
        <f>SUM(G460)</f>
        <v>106591.93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250533.88999999998</v>
      </c>
      <c r="H641" s="104">
        <f>SUM(I460)</f>
        <v>250533.88999999998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173.05</v>
      </c>
      <c r="H643" s="104">
        <f>H407</f>
        <v>173.05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25173.05</v>
      </c>
      <c r="H645" s="104">
        <f>L407</f>
        <v>25173.050000000003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98960.4</v>
      </c>
      <c r="H646" s="104">
        <f>L207+L225+L243</f>
        <v>98960.4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12010.869999999999</v>
      </c>
      <c r="H647" s="104">
        <f>(J256+J337)-(J254+J335)</f>
        <v>12010.869999999999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65972.94</v>
      </c>
      <c r="H648" s="104">
        <f>H597</f>
        <v>65972.94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16493.73</v>
      </c>
      <c r="H649" s="104">
        <f>I597</f>
        <v>16493.73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16493.73</v>
      </c>
      <c r="H650" s="104">
        <f>J597</f>
        <v>16493.73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11560.09</v>
      </c>
      <c r="H651" s="104">
        <f>K262+K344</f>
        <v>11560.09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1402317.8599999999</v>
      </c>
      <c r="G659" s="19">
        <f>(L228+L308+L358)</f>
        <v>269109.27999999997</v>
      </c>
      <c r="H659" s="19">
        <f>(L246+L327+L359)</f>
        <v>332595.52999999997</v>
      </c>
      <c r="I659" s="19">
        <f>SUM(F659:H659)</f>
        <v>2004022.67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10495.79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10495.79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66298.17</v>
      </c>
      <c r="G661" s="19">
        <f>(L225+L305)-(J225+J305)</f>
        <v>16493.73</v>
      </c>
      <c r="H661" s="19">
        <f>(L243+L324)-(J243+J324)</f>
        <v>16493.73</v>
      </c>
      <c r="I661" s="19">
        <f>SUM(F661:H661)</f>
        <v>99285.62999999999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20532.66</v>
      </c>
      <c r="G662" s="199">
        <f>SUM(G574:G586)+SUM(I601:I603)+L611</f>
        <v>252615.55</v>
      </c>
      <c r="H662" s="199">
        <f>SUM(H574:H586)+SUM(J601:J603)+L612</f>
        <v>316101.8</v>
      </c>
      <c r="I662" s="19">
        <f>SUM(F662:H662)</f>
        <v>589250.01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1304991.2399999998</v>
      </c>
      <c r="G663" s="19">
        <f>G659-SUM(G660:G662)</f>
        <v>0</v>
      </c>
      <c r="H663" s="19">
        <f>H659-SUM(H660:H662)</f>
        <v>0</v>
      </c>
      <c r="I663" s="19">
        <f>I659-SUM(I660:I662)</f>
        <v>1304991.24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42.01</v>
      </c>
      <c r="G664" s="248"/>
      <c r="H664" s="248"/>
      <c r="I664" s="19">
        <f>SUM(F664:H664)</f>
        <v>42.01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31063.82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31063.82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31063.82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31063.82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Harrisville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413209.49</v>
      </c>
      <c r="C9" s="229">
        <f>'DOE25'!G196+'DOE25'!G214+'DOE25'!G232+'DOE25'!G275+'DOE25'!G294+'DOE25'!G313</f>
        <v>116966.23</v>
      </c>
    </row>
    <row r="10" spans="1:3" x14ac:dyDescent="0.2">
      <c r="A10" t="s">
        <v>779</v>
      </c>
      <c r="B10" s="240">
        <v>386923.49</v>
      </c>
      <c r="C10" s="240">
        <v>109525.51</v>
      </c>
    </row>
    <row r="11" spans="1:3" x14ac:dyDescent="0.2">
      <c r="A11" t="s">
        <v>780</v>
      </c>
      <c r="B11" s="240">
        <v>26286</v>
      </c>
      <c r="C11" s="240">
        <v>7440.72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413209.49</v>
      </c>
      <c r="C13" s="231">
        <f>SUM(C10:C12)</f>
        <v>116966.23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65624.51999999999</v>
      </c>
      <c r="C18" s="229">
        <f>'DOE25'!G197+'DOE25'!G215+'DOE25'!G233+'DOE25'!G276+'DOE25'!G295+'DOE25'!G314</f>
        <v>21321.37</v>
      </c>
    </row>
    <row r="19" spans="1:3" x14ac:dyDescent="0.2">
      <c r="A19" t="s">
        <v>779</v>
      </c>
      <c r="B19" s="240">
        <v>39932.99</v>
      </c>
      <c r="C19" s="240">
        <v>12974.21</v>
      </c>
    </row>
    <row r="20" spans="1:3" x14ac:dyDescent="0.2">
      <c r="A20" t="s">
        <v>780</v>
      </c>
      <c r="B20" s="240">
        <v>25691.53</v>
      </c>
      <c r="C20" s="240">
        <v>8347.16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65624.51999999999</v>
      </c>
      <c r="C22" s="231">
        <f>SUM(C19:C21)</f>
        <v>21321.37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2605</v>
      </c>
      <c r="C36" s="235">
        <f>'DOE25'!G199+'DOE25'!G217+'DOE25'!G235+'DOE25'!G278+'DOE25'!G297+'DOE25'!G316</f>
        <v>208.4</v>
      </c>
    </row>
    <row r="37" spans="1:3" x14ac:dyDescent="0.2">
      <c r="A37" t="s">
        <v>779</v>
      </c>
      <c r="B37" s="240">
        <v>2605</v>
      </c>
      <c r="C37" s="240">
        <v>208.4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2605</v>
      </c>
      <c r="C40" s="231">
        <f>SUM(C37:C39)</f>
        <v>208.4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Harrisville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1131486.74</v>
      </c>
      <c r="D5" s="20">
        <f>SUM('DOE25'!L196:L199)+SUM('DOE25'!L214:L217)+SUM('DOE25'!L232:L235)-F5-G5</f>
        <v>1125723.03</v>
      </c>
      <c r="E5" s="243"/>
      <c r="F5" s="255">
        <f>SUM('DOE25'!J196:J199)+SUM('DOE25'!J214:J217)+SUM('DOE25'!J232:J235)</f>
        <v>5663.71</v>
      </c>
      <c r="G5" s="53">
        <f>SUM('DOE25'!K196:K199)+SUM('DOE25'!K214:K217)+SUM('DOE25'!K232:K235)</f>
        <v>100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89091.560000000012</v>
      </c>
      <c r="D6" s="20">
        <f>'DOE25'!L201+'DOE25'!L219+'DOE25'!L237-F6-G6</f>
        <v>89091.560000000012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17432.3</v>
      </c>
      <c r="D7" s="20">
        <f>'DOE25'!L202+'DOE25'!L220+'DOE25'!L238-F7-G7</f>
        <v>16933.3</v>
      </c>
      <c r="E7" s="243"/>
      <c r="F7" s="255">
        <f>'DOE25'!J202+'DOE25'!J220+'DOE25'!J238</f>
        <v>0</v>
      </c>
      <c r="G7" s="53">
        <f>'DOE25'!K202+'DOE25'!K220+'DOE25'!K238</f>
        <v>499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100028</v>
      </c>
      <c r="D8" s="243"/>
      <c r="E8" s="20">
        <f>'DOE25'!L203+'DOE25'!L221+'DOE25'!L239-F8-G8-D9-D11</f>
        <v>97387.5</v>
      </c>
      <c r="F8" s="255">
        <f>'DOE25'!J203+'DOE25'!J221+'DOE25'!J239</f>
        <v>0</v>
      </c>
      <c r="G8" s="53">
        <f>'DOE25'!K203+'DOE25'!K221+'DOE25'!K239</f>
        <v>2640.5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13896.71</v>
      </c>
      <c r="D9" s="244">
        <f>11236.71+250+2160+250</f>
        <v>13896.71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33975</v>
      </c>
      <c r="D11" s="244">
        <v>33975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114563.11</v>
      </c>
      <c r="D12" s="20">
        <f>'DOE25'!L204+'DOE25'!L222+'DOE25'!L240-F12-G12</f>
        <v>113964.11</v>
      </c>
      <c r="E12" s="243"/>
      <c r="F12" s="255">
        <f>'DOE25'!J204+'DOE25'!J222+'DOE25'!J240</f>
        <v>0</v>
      </c>
      <c r="G12" s="53">
        <f>'DOE25'!K204+'DOE25'!K222+'DOE25'!K240</f>
        <v>599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116497.41999999998</v>
      </c>
      <c r="D14" s="20">
        <f>'DOE25'!L206+'DOE25'!L224+'DOE25'!L242-F14-G14</f>
        <v>116497.41999999998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98960.4</v>
      </c>
      <c r="D15" s="20">
        <f>'DOE25'!L207+'DOE25'!L225+'DOE25'!L243-F15-G15</f>
        <v>98960.4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869</v>
      </c>
      <c r="D16" s="243"/>
      <c r="E16" s="20">
        <f>'DOE25'!L208+'DOE25'!L226+'DOE25'!L244-F16-G16</f>
        <v>869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20918.419999999998</v>
      </c>
      <c r="D29" s="20">
        <f>'DOE25'!L357+'DOE25'!L358+'DOE25'!L359-'DOE25'!I366-F29-G29</f>
        <v>20658.169999999998</v>
      </c>
      <c r="E29" s="243"/>
      <c r="F29" s="255">
        <f>'DOE25'!J357+'DOE25'!J358+'DOE25'!J359</f>
        <v>0</v>
      </c>
      <c r="G29" s="53">
        <f>'DOE25'!K357+'DOE25'!K358+'DOE25'!K359</f>
        <v>260.25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255565.16</v>
      </c>
      <c r="D31" s="20">
        <f>'DOE25'!L289+'DOE25'!L308+'DOE25'!L327+'DOE25'!L332+'DOE25'!L333+'DOE25'!L334-F31-G31</f>
        <v>238912.99</v>
      </c>
      <c r="E31" s="243"/>
      <c r="F31" s="255">
        <f>'DOE25'!J289+'DOE25'!J308+'DOE25'!J327+'DOE25'!J332+'DOE25'!J333+'DOE25'!J334</f>
        <v>6347.16</v>
      </c>
      <c r="G31" s="53">
        <f>'DOE25'!K289+'DOE25'!K308+'DOE25'!K327+'DOE25'!K332+'DOE25'!K333+'DOE25'!K334</f>
        <v>10305.01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1868612.69</v>
      </c>
      <c r="E33" s="246">
        <f>SUM(E5:E31)</f>
        <v>103756.5</v>
      </c>
      <c r="F33" s="246">
        <f>SUM(F5:F31)</f>
        <v>12010.869999999999</v>
      </c>
      <c r="G33" s="246">
        <f>SUM(G5:G31)</f>
        <v>14403.76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103756.5</v>
      </c>
      <c r="E35" s="249"/>
    </row>
    <row r="36" spans="2:8" ht="12" thickTop="1" x14ac:dyDescent="0.2">
      <c r="B36" t="s">
        <v>815</v>
      </c>
      <c r="D36" s="20">
        <f>D33</f>
        <v>1868612.69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Harrisville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31464.17</v>
      </c>
      <c r="D8" s="95">
        <f>'DOE25'!G9</f>
        <v>0</v>
      </c>
      <c r="E8" s="95">
        <f>'DOE25'!H9</f>
        <v>9858.67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6951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250533.88999999998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23821.64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264.5</v>
      </c>
      <c r="D12" s="95">
        <f>'DOE25'!G13</f>
        <v>2283.83</v>
      </c>
      <c r="E12" s="95">
        <f>'DOE25'!H13</f>
        <v>31429.33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4312.8999999999996</v>
      </c>
      <c r="D13" s="95">
        <f>'DOE25'!G14</f>
        <v>122.45</v>
      </c>
      <c r="E13" s="95">
        <f>'DOE25'!H14</f>
        <v>3041.77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66814.209999999992</v>
      </c>
      <c r="D18" s="41">
        <f>SUM(D8:D17)</f>
        <v>2406.2799999999997</v>
      </c>
      <c r="E18" s="41">
        <f>SUM(E8:E17)</f>
        <v>44329.77</v>
      </c>
      <c r="F18" s="41">
        <f>SUM(F8:F17)</f>
        <v>0</v>
      </c>
      <c r="G18" s="41">
        <f>SUM(G8:G17)</f>
        <v>250533.88999999998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1591</v>
      </c>
      <c r="E21" s="95">
        <f>'DOE25'!H22</f>
        <v>22230.639999999999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201.57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10316.23</v>
      </c>
      <c r="D23" s="95">
        <f>'DOE25'!G24</f>
        <v>0</v>
      </c>
      <c r="E23" s="95">
        <f>'DOE25'!H24</f>
        <v>4216.8500000000004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4617.8</v>
      </c>
      <c r="D27" s="95">
        <f>'DOE25'!G28</f>
        <v>653.67999999999995</v>
      </c>
      <c r="E27" s="95">
        <f>'DOE25'!H28</f>
        <v>5638.13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4900</v>
      </c>
      <c r="D29" s="95">
        <f>'DOE25'!G30</f>
        <v>161.6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20035.599999999999</v>
      </c>
      <c r="D31" s="41">
        <f>SUM(D21:D30)</f>
        <v>2406.2799999999997</v>
      </c>
      <c r="E31" s="41">
        <f>SUM(E21:E30)</f>
        <v>32085.62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12244.15</v>
      </c>
      <c r="F46" s="95">
        <f>'DOE25'!I47</f>
        <v>0</v>
      </c>
      <c r="G46" s="95">
        <f>'DOE25'!J47</f>
        <v>250533.88999999998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46778.61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46778.61</v>
      </c>
      <c r="D49" s="41">
        <f>SUM(D34:D48)</f>
        <v>0</v>
      </c>
      <c r="E49" s="41">
        <f>SUM(E34:E48)</f>
        <v>12244.15</v>
      </c>
      <c r="F49" s="41">
        <f>SUM(F34:F48)</f>
        <v>0</v>
      </c>
      <c r="G49" s="41">
        <f>SUM(G34:G48)</f>
        <v>250533.88999999998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66814.209999999992</v>
      </c>
      <c r="D50" s="41">
        <f>D49+D31</f>
        <v>2406.2799999999997</v>
      </c>
      <c r="E50" s="41">
        <f>E49+E31</f>
        <v>44329.77</v>
      </c>
      <c r="F50" s="41">
        <f>F49+F31</f>
        <v>0</v>
      </c>
      <c r="G50" s="41">
        <f>G49+G31</f>
        <v>250533.88999999998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1085376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14700</v>
      </c>
      <c r="D56" s="24" t="s">
        <v>289</v>
      </c>
      <c r="E56" s="95">
        <f>'DOE25'!H78</f>
        <v>39530.239999999998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177.36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173.05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10487.54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60552.31</v>
      </c>
      <c r="D60" s="95">
        <f>SUM('DOE25'!G97:G109)</f>
        <v>8.25</v>
      </c>
      <c r="E60" s="95">
        <f>SUM('DOE25'!H97:H109)</f>
        <v>5694.42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75429.67</v>
      </c>
      <c r="D61" s="130">
        <f>SUM(D56:D60)</f>
        <v>10495.79</v>
      </c>
      <c r="E61" s="130">
        <f>SUM(E56:E60)</f>
        <v>45224.659999999996</v>
      </c>
      <c r="F61" s="130">
        <f>SUM(F56:F60)</f>
        <v>0</v>
      </c>
      <c r="G61" s="130">
        <f>SUM(G56:G60)</f>
        <v>173.05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1160805.67</v>
      </c>
      <c r="D62" s="22">
        <f>D55+D61</f>
        <v>10495.79</v>
      </c>
      <c r="E62" s="22">
        <f>E55+E61</f>
        <v>45224.659999999996</v>
      </c>
      <c r="F62" s="22">
        <f>F55+F61</f>
        <v>0</v>
      </c>
      <c r="G62" s="22">
        <f>G55+G61</f>
        <v>173.05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13345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504999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518344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201.54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201.54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518344</v>
      </c>
      <c r="D80" s="130">
        <f>SUM(D78:D79)+D77+D69</f>
        <v>201.54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4458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4257.3599999999997</v>
      </c>
      <c r="D87" s="95">
        <f>SUM('DOE25'!G152:G160)</f>
        <v>9399.85</v>
      </c>
      <c r="E87" s="95">
        <f>SUM('DOE25'!H152:H160)</f>
        <v>225036.62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4257.3599999999997</v>
      </c>
      <c r="D90" s="131">
        <f>SUM(D84:D89)</f>
        <v>9399.85</v>
      </c>
      <c r="E90" s="131">
        <f>SUM(E84:E89)</f>
        <v>229494.62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11560.09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11560.09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 x14ac:dyDescent="0.25">
      <c r="A103" s="33" t="s">
        <v>765</v>
      </c>
      <c r="C103" s="86">
        <f>C62+C80+C90+C102</f>
        <v>1683407.03</v>
      </c>
      <c r="D103" s="86">
        <f>D62+D80+D90+D102</f>
        <v>31657.27</v>
      </c>
      <c r="E103" s="86">
        <f>E62+E80+E90+E102</f>
        <v>274719.27999999997</v>
      </c>
      <c r="F103" s="86">
        <f>F62+F80+F90+F102</f>
        <v>0</v>
      </c>
      <c r="G103" s="86">
        <f>G62+G80+G102</f>
        <v>25173.05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816638.41999999993</v>
      </c>
      <c r="D108" s="24" t="s">
        <v>289</v>
      </c>
      <c r="E108" s="95">
        <f>('DOE25'!L275)+('DOE25'!L294)+('DOE25'!L313)</f>
        <v>90624.97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314036.55</v>
      </c>
      <c r="D109" s="24" t="s">
        <v>289</v>
      </c>
      <c r="E109" s="95">
        <f>('DOE25'!L276)+('DOE25'!L295)+('DOE25'!L314)</f>
        <v>14130.980000000001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811.77</v>
      </c>
      <c r="D111" s="24" t="s">
        <v>289</v>
      </c>
      <c r="E111" s="95">
        <f>+('DOE25'!L278)+('DOE25'!L297)+('DOE25'!L316)</f>
        <v>36365.69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1131486.74</v>
      </c>
      <c r="D114" s="86">
        <f>SUM(D108:D113)</f>
        <v>0</v>
      </c>
      <c r="E114" s="86">
        <f>SUM(E108:E113)</f>
        <v>141121.64000000001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89091.560000000012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17432.3</v>
      </c>
      <c r="D118" s="24" t="s">
        <v>289</v>
      </c>
      <c r="E118" s="95">
        <f>+('DOE25'!L281)+('DOE25'!L300)+('DOE25'!L319)</f>
        <v>9820.91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147899.71</v>
      </c>
      <c r="D119" s="24" t="s">
        <v>289</v>
      </c>
      <c r="E119" s="95">
        <f>+('DOE25'!L282)+('DOE25'!L301)+('DOE25'!L320)</f>
        <v>93633.319999999992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114563.11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9464.06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116497.41999999998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98960.4</v>
      </c>
      <c r="D123" s="24" t="s">
        <v>289</v>
      </c>
      <c r="E123" s="95">
        <f>+('DOE25'!L286)+('DOE25'!L305)+('DOE25'!L324)</f>
        <v>325.23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869</v>
      </c>
      <c r="D124" s="24" t="s">
        <v>289</v>
      </c>
      <c r="E124" s="95">
        <f>+('DOE25'!L287)+('DOE25'!L306)+('DOE25'!L325)</f>
        <v>1200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31657.27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585313.5</v>
      </c>
      <c r="D127" s="86">
        <f>SUM(D117:D126)</f>
        <v>31657.27</v>
      </c>
      <c r="E127" s="86">
        <f>SUM(E117:E126)</f>
        <v>114443.51999999999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11560.09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25093.97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79.08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-173.05000000000291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36560.089999999997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1753360.33</v>
      </c>
      <c r="D144" s="86">
        <f>(D114+D127+D143)</f>
        <v>31657.27</v>
      </c>
      <c r="E144" s="86">
        <f>(E114+E127+E143)</f>
        <v>255565.16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Harrisville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31064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31064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907263</v>
      </c>
      <c r="D10" s="182">
        <f>ROUND((C10/$C$28)*100,1)</f>
        <v>45.5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328168</v>
      </c>
      <c r="D11" s="182">
        <f>ROUND((C11/$C$28)*100,1)</f>
        <v>16.5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37177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89092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27253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243602</v>
      </c>
      <c r="D17" s="182">
        <f t="shared" si="0"/>
        <v>12.2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114563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9464</v>
      </c>
      <c r="D19" s="182">
        <f t="shared" si="0"/>
        <v>0.5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116497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99286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21161.21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1993526.21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1993526.21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1085376</v>
      </c>
      <c r="D35" s="182">
        <f t="shared" ref="D35:D40" si="1">ROUND((C35/$C$41)*100,1)</f>
        <v>55.2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120827.37999999989</v>
      </c>
      <c r="D36" s="182">
        <f t="shared" si="1"/>
        <v>6.1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518344</v>
      </c>
      <c r="D37" s="182">
        <f t="shared" si="1"/>
        <v>26.3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202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243152</v>
      </c>
      <c r="D39" s="182">
        <f t="shared" si="1"/>
        <v>12.4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1967901.38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Harrisville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2013-09-17T23:53:06Z</cp:lastPrinted>
  <dcterms:created xsi:type="dcterms:W3CDTF">1997-12-04T19:04:30Z</dcterms:created>
  <dcterms:modified xsi:type="dcterms:W3CDTF">2013-09-24T11:51:06Z</dcterms:modified>
</cp:coreProperties>
</file>