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270" windowWidth="12735" windowHeight="62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09" i="1" l="1"/>
  <c r="F497" i="1" l="1"/>
  <c r="F117" i="1" l="1"/>
  <c r="F56" i="1"/>
  <c r="H154" i="1" l="1"/>
  <c r="H101" i="1"/>
  <c r="H30" i="1"/>
  <c r="H13" i="1"/>
  <c r="H22" i="1"/>
  <c r="G157" i="1" l="1"/>
  <c r="F464" i="1"/>
  <c r="F9" i="1"/>
  <c r="F13" i="1"/>
  <c r="G22" i="1" l="1"/>
  <c r="G13" i="1"/>
  <c r="G24" i="1" l="1"/>
  <c r="G458" i="1" l="1"/>
  <c r="G438" i="1"/>
  <c r="H207" i="1"/>
  <c r="J603" i="1"/>
  <c r="I603" i="1"/>
  <c r="H603" i="1"/>
  <c r="H294" i="1"/>
  <c r="I294" i="1"/>
  <c r="G294" i="1"/>
  <c r="F294" i="1"/>
  <c r="G275" i="1"/>
  <c r="F275" i="1"/>
  <c r="I275" i="1"/>
  <c r="H275" i="1"/>
  <c r="I313" i="1"/>
  <c r="J593" i="1"/>
  <c r="H591" i="1"/>
  <c r="H594" i="1"/>
  <c r="H243" i="1"/>
  <c r="I242" i="1"/>
  <c r="H242" i="1"/>
  <c r="J238" i="1"/>
  <c r="I238" i="1"/>
  <c r="H238" i="1"/>
  <c r="G238" i="1"/>
  <c r="F238" i="1"/>
  <c r="I237" i="1"/>
  <c r="H237" i="1"/>
  <c r="G237" i="1"/>
  <c r="F237" i="1"/>
  <c r="H233" i="1"/>
  <c r="G233" i="1"/>
  <c r="F233" i="1"/>
  <c r="G232" i="1"/>
  <c r="F232" i="1"/>
  <c r="H221" i="1"/>
  <c r="H225" i="1"/>
  <c r="J220" i="1"/>
  <c r="I220" i="1"/>
  <c r="H220" i="1"/>
  <c r="G220" i="1"/>
  <c r="F220" i="1"/>
  <c r="J219" i="1"/>
  <c r="G219" i="1"/>
  <c r="F219" i="1"/>
  <c r="H215" i="1"/>
  <c r="G215" i="1"/>
  <c r="F215" i="1"/>
  <c r="G214" i="1"/>
  <c r="F214" i="1"/>
  <c r="G202" i="1"/>
  <c r="J202" i="1"/>
  <c r="I202" i="1"/>
  <c r="H202" i="1"/>
  <c r="F202" i="1"/>
  <c r="I201" i="1"/>
  <c r="G201" i="1"/>
  <c r="F201" i="1"/>
  <c r="H197" i="1"/>
  <c r="G197" i="1"/>
  <c r="F197" i="1"/>
  <c r="G196" i="1"/>
  <c r="F196" i="1"/>
  <c r="G35" i="1" l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C17" i="10" s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C110" i="2" s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G648" i="1" s="1"/>
  <c r="L225" i="1"/>
  <c r="G661" i="1" s="1"/>
  <c r="L243" i="1"/>
  <c r="H661" i="1" s="1"/>
  <c r="F17" i="13"/>
  <c r="G17" i="13"/>
  <c r="D17" i="13" s="1"/>
  <c r="C17" i="13" s="1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308" i="1" s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27" i="1" s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32" i="10" s="1"/>
  <c r="L260" i="1"/>
  <c r="C25" i="10" s="1"/>
  <c r="L340" i="1"/>
  <c r="L341" i="1"/>
  <c r="L254" i="1"/>
  <c r="L335" i="1"/>
  <c r="C11" i="13"/>
  <c r="C10" i="13"/>
  <c r="C9" i="13"/>
  <c r="B4" i="12"/>
  <c r="B36" i="12"/>
  <c r="C36" i="12"/>
  <c r="B40" i="12"/>
  <c r="C40" i="12"/>
  <c r="B27" i="12"/>
  <c r="C27" i="12"/>
  <c r="B31" i="12"/>
  <c r="C31" i="12"/>
  <c r="B9" i="12"/>
  <c r="A13" i="12" s="1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400" i="1" s="1"/>
  <c r="C138" i="2" s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35" i="10" s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H111" i="1" s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F168" i="1" s="1"/>
  <c r="G146" i="1"/>
  <c r="G161" i="1"/>
  <c r="H146" i="1"/>
  <c r="H161" i="1"/>
  <c r="H168" i="1" s="1"/>
  <c r="I146" i="1"/>
  <c r="I161" i="1"/>
  <c r="C19" i="10"/>
  <c r="L249" i="1"/>
  <c r="L331" i="1"/>
  <c r="C23" i="10" s="1"/>
  <c r="L253" i="1"/>
  <c r="L267" i="1"/>
  <c r="L268" i="1"/>
  <c r="L348" i="1"/>
  <c r="L349" i="1"/>
  <c r="I664" i="1"/>
  <c r="I669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E18" i="2" s="1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D55" i="2"/>
  <c r="E55" i="2"/>
  <c r="F55" i="2"/>
  <c r="E56" i="2"/>
  <c r="C57" i="2"/>
  <c r="E57" i="2"/>
  <c r="C58" i="2"/>
  <c r="D58" i="2"/>
  <c r="E58" i="2"/>
  <c r="F58" i="2"/>
  <c r="D59" i="2"/>
  <c r="D61" i="2" s="1"/>
  <c r="D62" i="2" s="1"/>
  <c r="C60" i="2"/>
  <c r="D60" i="2"/>
  <c r="E60" i="2"/>
  <c r="E61" i="2" s="1"/>
  <c r="E62" i="2" s="1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9" i="2"/>
  <c r="E110" i="2"/>
  <c r="E111" i="2"/>
  <c r="C112" i="2"/>
  <c r="E112" i="2"/>
  <c r="C113" i="2"/>
  <c r="E113" i="2"/>
  <c r="D114" i="2"/>
  <c r="F114" i="2"/>
  <c r="G114" i="2"/>
  <c r="E117" i="2"/>
  <c r="E118" i="2"/>
  <c r="E119" i="2"/>
  <c r="E120" i="2"/>
  <c r="E121" i="2"/>
  <c r="E122" i="2"/>
  <c r="E123" i="2"/>
  <c r="C124" i="2"/>
  <c r="E124" i="2"/>
  <c r="F127" i="2"/>
  <c r="G127" i="2"/>
  <c r="C129" i="2"/>
  <c r="E129" i="2"/>
  <c r="F129" i="2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G159" i="2" s="1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G161" i="2" s="1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I19" i="1"/>
  <c r="F32" i="1"/>
  <c r="G32" i="1"/>
  <c r="H32" i="1"/>
  <c r="I32" i="1"/>
  <c r="G50" i="1"/>
  <c r="G622" i="1" s="1"/>
  <c r="H50" i="1"/>
  <c r="I50" i="1"/>
  <c r="I51" i="1" s="1"/>
  <c r="H619" i="1" s="1"/>
  <c r="F176" i="1"/>
  <c r="I176" i="1"/>
  <c r="F182" i="1"/>
  <c r="G182" i="1"/>
  <c r="G191" i="1" s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H337" i="1" s="1"/>
  <c r="H351" i="1" s="1"/>
  <c r="I308" i="1"/>
  <c r="F327" i="1"/>
  <c r="G327" i="1"/>
  <c r="H327" i="1"/>
  <c r="I327" i="1"/>
  <c r="F336" i="1"/>
  <c r="G336" i="1"/>
  <c r="L336" i="1" s="1"/>
  <c r="H336" i="1"/>
  <c r="I336" i="1"/>
  <c r="J336" i="1"/>
  <c r="K336" i="1"/>
  <c r="K337" i="1" s="1"/>
  <c r="K351" i="1" s="1"/>
  <c r="F361" i="1"/>
  <c r="G361" i="1"/>
  <c r="H361" i="1"/>
  <c r="I361" i="1"/>
  <c r="G633" i="1" s="1"/>
  <c r="J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G407" i="1" s="1"/>
  <c r="H644" i="1" s="1"/>
  <c r="H400" i="1"/>
  <c r="I400" i="1"/>
  <c r="F406" i="1"/>
  <c r="G406" i="1"/>
  <c r="H406" i="1"/>
  <c r="I406" i="1"/>
  <c r="F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G641" i="1" s="1"/>
  <c r="F451" i="1"/>
  <c r="G451" i="1"/>
  <c r="H451" i="1"/>
  <c r="I451" i="1"/>
  <c r="F459" i="1"/>
  <c r="G459" i="1"/>
  <c r="H459" i="1"/>
  <c r="I459" i="1"/>
  <c r="I460" i="1" s="1"/>
  <c r="H641" i="1" s="1"/>
  <c r="F460" i="1"/>
  <c r="G460" i="1"/>
  <c r="H460" i="1"/>
  <c r="I469" i="1"/>
  <c r="I473" i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J544" i="1" s="1"/>
  <c r="K523" i="1"/>
  <c r="K544" i="1" s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L613" i="1"/>
  <c r="G618" i="1"/>
  <c r="G619" i="1"/>
  <c r="G623" i="1"/>
  <c r="G624" i="1"/>
  <c r="H629" i="1"/>
  <c r="H635" i="1"/>
  <c r="H637" i="1"/>
  <c r="G638" i="1"/>
  <c r="H638" i="1"/>
  <c r="G639" i="1"/>
  <c r="H639" i="1"/>
  <c r="G640" i="1"/>
  <c r="H640" i="1"/>
  <c r="G642" i="1"/>
  <c r="H642" i="1"/>
  <c r="G643" i="1"/>
  <c r="H643" i="1"/>
  <c r="G649" i="1"/>
  <c r="G651" i="1"/>
  <c r="H651" i="1"/>
  <c r="G652" i="1"/>
  <c r="H652" i="1"/>
  <c r="G653" i="1"/>
  <c r="H653" i="1"/>
  <c r="H654" i="1"/>
  <c r="F191" i="1"/>
  <c r="L255" i="1"/>
  <c r="G163" i="2"/>
  <c r="F31" i="2"/>
  <c r="C26" i="10"/>
  <c r="L350" i="1"/>
  <c r="A31" i="12"/>
  <c r="E49" i="2"/>
  <c r="D18" i="13"/>
  <c r="C18" i="13" s="1"/>
  <c r="F102" i="2"/>
  <c r="G158" i="2"/>
  <c r="C90" i="2"/>
  <c r="G80" i="2"/>
  <c r="F77" i="2"/>
  <c r="F80" i="2" s="1"/>
  <c r="F61" i="2"/>
  <c r="F62" i="2" s="1"/>
  <c r="D49" i="2"/>
  <c r="G156" i="2"/>
  <c r="F49" i="2"/>
  <c r="F50" i="2" s="1"/>
  <c r="F18" i="2"/>
  <c r="G162" i="2"/>
  <c r="G160" i="2"/>
  <c r="G157" i="2"/>
  <c r="G155" i="2"/>
  <c r="E143" i="2"/>
  <c r="G102" i="2"/>
  <c r="E102" i="2"/>
  <c r="C102" i="2"/>
  <c r="F90" i="2"/>
  <c r="G61" i="2"/>
  <c r="D19" i="13"/>
  <c r="C19" i="13" s="1"/>
  <c r="E77" i="2"/>
  <c r="E80" i="2" s="1"/>
  <c r="L426" i="1"/>
  <c r="J640" i="1"/>
  <c r="J638" i="1"/>
  <c r="J570" i="1"/>
  <c r="K570" i="1"/>
  <c r="L432" i="1"/>
  <c r="L418" i="1"/>
  <c r="I168" i="1"/>
  <c r="J643" i="1"/>
  <c r="J642" i="1"/>
  <c r="I475" i="1"/>
  <c r="H624" i="1" s="1"/>
  <c r="J624" i="1" s="1"/>
  <c r="J139" i="1"/>
  <c r="F570" i="1"/>
  <c r="I551" i="1"/>
  <c r="K548" i="1"/>
  <c r="G22" i="2"/>
  <c r="C29" i="10"/>
  <c r="H139" i="1"/>
  <c r="L392" i="1"/>
  <c r="F22" i="13"/>
  <c r="H570" i="1"/>
  <c r="L559" i="1"/>
  <c r="H191" i="1"/>
  <c r="E127" i="2"/>
  <c r="E16" i="13"/>
  <c r="L569" i="1"/>
  <c r="I570" i="1"/>
  <c r="I544" i="1"/>
  <c r="J635" i="1"/>
  <c r="G36" i="2"/>
  <c r="L564" i="1"/>
  <c r="C22" i="13"/>
  <c r="C137" i="2"/>
  <c r="C16" i="13"/>
  <c r="J551" i="1" l="1"/>
  <c r="L543" i="1"/>
  <c r="H551" i="1"/>
  <c r="L533" i="1"/>
  <c r="H544" i="1"/>
  <c r="K499" i="1"/>
  <c r="C55" i="2"/>
  <c r="A40" i="12"/>
  <c r="E31" i="2"/>
  <c r="E50" i="2" s="1"/>
  <c r="J639" i="1"/>
  <c r="F337" i="1"/>
  <c r="F351" i="1" s="1"/>
  <c r="G337" i="1"/>
  <c r="G351" i="1" s="1"/>
  <c r="J337" i="1"/>
  <c r="J351" i="1" s="1"/>
  <c r="E108" i="2"/>
  <c r="E114" i="2" s="1"/>
  <c r="E144" i="2" s="1"/>
  <c r="L289" i="1"/>
  <c r="L337" i="1" s="1"/>
  <c r="L351" i="1" s="1"/>
  <c r="K597" i="1"/>
  <c r="G646" i="1" s="1"/>
  <c r="J648" i="1"/>
  <c r="G650" i="1"/>
  <c r="J650" i="1" s="1"/>
  <c r="E13" i="13"/>
  <c r="C13" i="13" s="1"/>
  <c r="C119" i="2"/>
  <c r="E8" i="13"/>
  <c r="C8" i="13" s="1"/>
  <c r="C20" i="10"/>
  <c r="C121" i="2"/>
  <c r="D14" i="13"/>
  <c r="C14" i="13" s="1"/>
  <c r="C122" i="2"/>
  <c r="F551" i="1"/>
  <c r="J654" i="1"/>
  <c r="K549" i="1"/>
  <c r="G544" i="1"/>
  <c r="K550" i="1"/>
  <c r="L523" i="1"/>
  <c r="G551" i="1"/>
  <c r="L528" i="1"/>
  <c r="J256" i="1"/>
  <c r="J270" i="1" s="1"/>
  <c r="C118" i="2"/>
  <c r="G644" i="1"/>
  <c r="J644" i="1" s="1"/>
  <c r="C77" i="2"/>
  <c r="H51" i="1"/>
  <c r="H618" i="1" s="1"/>
  <c r="J618" i="1" s="1"/>
  <c r="C61" i="2"/>
  <c r="C62" i="2" s="1"/>
  <c r="F111" i="1"/>
  <c r="C36" i="10" s="1"/>
  <c r="D31" i="2"/>
  <c r="D50" i="2" s="1"/>
  <c r="G51" i="1"/>
  <c r="H617" i="1" s="1"/>
  <c r="J617" i="1" s="1"/>
  <c r="D18" i="2"/>
  <c r="G616" i="1"/>
  <c r="I368" i="1"/>
  <c r="H633" i="1" s="1"/>
  <c r="J633" i="1" s="1"/>
  <c r="D126" i="2"/>
  <c r="D127" i="2" s="1"/>
  <c r="D29" i="13"/>
  <c r="C29" i="13" s="1"/>
  <c r="H660" i="1"/>
  <c r="G660" i="1"/>
  <c r="F660" i="1"/>
  <c r="K256" i="1"/>
  <c r="K270" i="1" s="1"/>
  <c r="H646" i="1"/>
  <c r="C131" i="2"/>
  <c r="H25" i="13"/>
  <c r="C130" i="2"/>
  <c r="I256" i="1"/>
  <c r="I270" i="1" s="1"/>
  <c r="C12" i="10"/>
  <c r="H256" i="1"/>
  <c r="H270" i="1" s="1"/>
  <c r="C16" i="10"/>
  <c r="C13" i="10"/>
  <c r="L246" i="1"/>
  <c r="H659" i="1" s="1"/>
  <c r="C108" i="2"/>
  <c r="C111" i="2"/>
  <c r="L228" i="1"/>
  <c r="G659" i="1" s="1"/>
  <c r="G256" i="1"/>
  <c r="G270" i="1" s="1"/>
  <c r="C120" i="2"/>
  <c r="D12" i="13"/>
  <c r="C12" i="13" s="1"/>
  <c r="C18" i="10"/>
  <c r="D7" i="13"/>
  <c r="C7" i="13" s="1"/>
  <c r="D6" i="13"/>
  <c r="C6" i="13" s="1"/>
  <c r="C11" i="10"/>
  <c r="C10" i="10"/>
  <c r="F256" i="1"/>
  <c r="F270" i="1" s="1"/>
  <c r="C123" i="2"/>
  <c r="D15" i="13"/>
  <c r="C15" i="13" s="1"/>
  <c r="F661" i="1"/>
  <c r="I661" i="1" s="1"/>
  <c r="C21" i="10"/>
  <c r="C117" i="2"/>
  <c r="C15" i="10"/>
  <c r="D5" i="13"/>
  <c r="C5" i="13" s="1"/>
  <c r="C109" i="2"/>
  <c r="L210" i="1"/>
  <c r="C69" i="2"/>
  <c r="C31" i="2"/>
  <c r="C18" i="2"/>
  <c r="C24" i="10"/>
  <c r="G31" i="13"/>
  <c r="G33" i="13" s="1"/>
  <c r="I337" i="1"/>
  <c r="I351" i="1" s="1"/>
  <c r="J649" i="1"/>
  <c r="L406" i="1"/>
  <c r="C139" i="2" s="1"/>
  <c r="C140" i="2" s="1"/>
  <c r="L570" i="1"/>
  <c r="I191" i="1"/>
  <c r="E90" i="2"/>
  <c r="E103" i="2" s="1"/>
  <c r="L407" i="1"/>
  <c r="G636" i="1" s="1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F103" i="2"/>
  <c r="H192" i="1"/>
  <c r="G168" i="1"/>
  <c r="C39" i="10" s="1"/>
  <c r="G139" i="1"/>
  <c r="F139" i="1"/>
  <c r="G62" i="2"/>
  <c r="G103" i="2" s="1"/>
  <c r="G42" i="2"/>
  <c r="J50" i="1"/>
  <c r="G16" i="2"/>
  <c r="J19" i="1"/>
  <c r="G620" i="1" s="1"/>
  <c r="G18" i="2"/>
  <c r="F544" i="1"/>
  <c r="H433" i="1"/>
  <c r="J619" i="1"/>
  <c r="D102" i="2"/>
  <c r="D103" i="2" s="1"/>
  <c r="I139" i="1"/>
  <c r="I192" i="1" s="1"/>
  <c r="G629" i="1" s="1"/>
  <c r="J629" i="1" s="1"/>
  <c r="A22" i="12"/>
  <c r="G49" i="2"/>
  <c r="G50" i="2" s="1"/>
  <c r="J651" i="1"/>
  <c r="J641" i="1"/>
  <c r="G570" i="1"/>
  <c r="I433" i="1"/>
  <c r="G433" i="1"/>
  <c r="I662" i="1"/>
  <c r="F659" i="1" l="1"/>
  <c r="I659" i="1" s="1"/>
  <c r="D31" i="13"/>
  <c r="C31" i="13" s="1"/>
  <c r="G632" i="1"/>
  <c r="H471" i="1"/>
  <c r="J646" i="1"/>
  <c r="E33" i="13"/>
  <c r="D35" i="13" s="1"/>
  <c r="H647" i="1"/>
  <c r="J647" i="1" s="1"/>
  <c r="K551" i="1"/>
  <c r="L544" i="1"/>
  <c r="G645" i="1"/>
  <c r="J467" i="1"/>
  <c r="C80" i="2"/>
  <c r="C103" i="2" s="1"/>
  <c r="G628" i="1"/>
  <c r="H467" i="1"/>
  <c r="F192" i="1"/>
  <c r="F467" i="1" s="1"/>
  <c r="F50" i="1"/>
  <c r="C48" i="2"/>
  <c r="C49" i="2" s="1"/>
  <c r="C50" i="2" s="1"/>
  <c r="H645" i="1"/>
  <c r="J645" i="1" s="1"/>
  <c r="H663" i="1"/>
  <c r="H666" i="1" s="1"/>
  <c r="I660" i="1"/>
  <c r="G663" i="1"/>
  <c r="G666" i="1" s="1"/>
  <c r="C143" i="2"/>
  <c r="C25" i="13"/>
  <c r="H33" i="13"/>
  <c r="C114" i="2"/>
  <c r="C127" i="2"/>
  <c r="L256" i="1"/>
  <c r="L270" i="1" s="1"/>
  <c r="G630" i="1"/>
  <c r="G192" i="1"/>
  <c r="G625" i="1"/>
  <c r="J51" i="1"/>
  <c r="H620" i="1" s="1"/>
  <c r="J620" i="1" s="1"/>
  <c r="C38" i="10"/>
  <c r="F663" i="1" l="1"/>
  <c r="F666" i="1" s="1"/>
  <c r="D33" i="13"/>
  <c r="D36" i="13" s="1"/>
  <c r="H473" i="1"/>
  <c r="H632" i="1"/>
  <c r="J632" i="1" s="1"/>
  <c r="H671" i="1"/>
  <c r="C6" i="10" s="1"/>
  <c r="G631" i="1"/>
  <c r="F471" i="1"/>
  <c r="H630" i="1"/>
  <c r="J630" i="1" s="1"/>
  <c r="H636" i="1"/>
  <c r="J636" i="1" s="1"/>
  <c r="J469" i="1"/>
  <c r="J475" i="1" s="1"/>
  <c r="H625" i="1" s="1"/>
  <c r="J625" i="1" s="1"/>
  <c r="H469" i="1"/>
  <c r="H628" i="1"/>
  <c r="J628" i="1" s="1"/>
  <c r="G627" i="1"/>
  <c r="G467" i="1"/>
  <c r="G626" i="1"/>
  <c r="H626" i="1"/>
  <c r="F469" i="1"/>
  <c r="F51" i="1"/>
  <c r="H616" i="1" s="1"/>
  <c r="J616" i="1" s="1"/>
  <c r="G621" i="1"/>
  <c r="G671" i="1"/>
  <c r="C5" i="10" s="1"/>
  <c r="I663" i="1"/>
  <c r="I671" i="1" s="1"/>
  <c r="C7" i="10" s="1"/>
  <c r="C144" i="2"/>
  <c r="C41" i="10"/>
  <c r="D38" i="10" s="1"/>
  <c r="F671" i="1" l="1"/>
  <c r="C4" i="10" s="1"/>
  <c r="H475" i="1"/>
  <c r="H623" i="1" s="1"/>
  <c r="J623" i="1" s="1"/>
  <c r="I666" i="1"/>
  <c r="H631" i="1"/>
  <c r="J631" i="1" s="1"/>
  <c r="F473" i="1"/>
  <c r="F475" i="1" s="1"/>
  <c r="H621" i="1" s="1"/>
  <c r="J621" i="1" s="1"/>
  <c r="J626" i="1"/>
  <c r="H627" i="1"/>
  <c r="J627" i="1" s="1"/>
  <c r="G469" i="1"/>
  <c r="D37" i="10"/>
  <c r="D36" i="10"/>
  <c r="D35" i="10"/>
  <c r="D40" i="10"/>
  <c r="D39" i="10"/>
  <c r="D41" i="10" l="1"/>
  <c r="K361" i="1"/>
  <c r="D133" i="2"/>
  <c r="D143" i="2" s="1"/>
  <c r="D144" i="2" s="1"/>
  <c r="L360" i="1"/>
  <c r="L361" i="1" s="1"/>
  <c r="C27" i="10" l="1"/>
  <c r="G634" i="1"/>
  <c r="G471" i="1"/>
  <c r="H634" i="1" l="1"/>
  <c r="J634" i="1" s="1"/>
  <c r="G473" i="1"/>
  <c r="G475" i="1" s="1"/>
  <c r="H622" i="1" s="1"/>
  <c r="J622" i="1" s="1"/>
  <c r="C28" i="10"/>
  <c r="H655" i="1" l="1"/>
  <c r="D20" i="10"/>
  <c r="D23" i="10"/>
  <c r="D22" i="10"/>
  <c r="C30" i="10"/>
  <c r="D15" i="10"/>
  <c r="D26" i="10"/>
  <c r="D18" i="10"/>
  <c r="D11" i="10"/>
  <c r="D25" i="10"/>
  <c r="D17" i="10"/>
  <c r="D21" i="10"/>
  <c r="D12" i="10"/>
  <c r="D10" i="10"/>
  <c r="D24" i="10"/>
  <c r="D19" i="10"/>
  <c r="D16" i="10"/>
  <c r="D13" i="10"/>
  <c r="D27" i="10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<sst xmlns="http://schemas.openxmlformats.org/spreadsheetml/2006/main" count="3946" uniqueCount="912">
  <si>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</si>
  <si>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</si>
  <si>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</si>
  <si>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</si>
  <si>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</si>
  <si>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</si>
  <si>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</si>
  <si>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</si>
  <si>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</si>
  <si>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</si>
  <si>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</si>
  <si>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</si>
  <si>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</si>
  <si>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</si>
  <si>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</si>
  <si>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</si>
  <si>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</si>
  <si>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</si>
  <si>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</si>
  <si>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</si>
  <si>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</si>
  <si>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</si>
  <si>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</si>
  <si>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</si>
  <si>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</si>
  <si>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</si>
  <si>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</si>
  <si>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</si>
  <si>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</si>
  <si>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</si>
  <si>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</si>
  <si>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</si>
  <si>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</si>
  <si>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</si>
  <si>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</si>
  <si>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</si>
  <si>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</si>
  <si>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</si>
  <si>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</si>
  <si>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</si>
  <si>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</si>
  <si>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</si>
  <si>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</si>
  <si>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</si>
  <si>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</si>
  <si>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</si>
  <si>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</si>
  <si>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</si>
  <si>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</si>
  <si>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</si>
  <si>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</si>
  <si>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</si>
  <si>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</si>
  <si>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</si>
  <si>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</si>
  <si>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</si>
  <si>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</si>
  <si>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</si>
  <si>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</si>
  <si>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</si>
  <si>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</si>
  <si>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</si>
  <si>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</si>
  <si>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</si>
  <si>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</si>
  <si>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</si>
  <si>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</si>
  <si>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</si>
  <si>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</si>
  <si>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</si>
  <si>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</si>
  <si>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</si>
  <si>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</si>
  <si>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</si>
  <si>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</si>
  <si>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</si>
  <si>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</si>
  <si>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</si>
  <si>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</si>
  <si>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</si>
  <si>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</si>
  <si>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</si>
  <si>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</si>
  <si>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</si>
  <si>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</si>
  <si>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</si>
  <si>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</si>
  <si>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</si>
  <si>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</si>
  <si>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</si>
  <si>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</si>
  <si>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</si>
  <si>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</si>
  <si>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</si>
  <si>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</si>
  <si>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</si>
  <si>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</si>
  <si>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</si>
  <si>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</si>
  <si>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</si>
  <si>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</si>
  <si>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</si>
  <si>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</si>
  <si>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</si>
  <si>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</si>
  <si>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</si>
  <si>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</si>
  <si>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</si>
  <si>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</si>
  <si>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</si>
  <si>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</si>
  <si>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</si>
  <si>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</si>
  <si>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</si>
  <si>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</si>
  <si>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</si>
  <si>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</si>
  <si>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</si>
  <si>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</si>
  <si>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</si>
  <si>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</si>
  <si>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</si>
  <si>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</si>
  <si>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</si>
  <si>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</si>
  <si>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</si>
  <si>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</si>
  <si>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</si>
  <si>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</si>
  <si>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</si>
  <si>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</si>
  <si>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</si>
  <si>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</si>
  <si>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</si>
  <si>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</si>
  <si>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</si>
  <si>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</si>
  <si>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</si>
  <si>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</si>
  <si>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</si>
  <si>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</si>
  <si>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</si>
  <si>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</si>
  <si>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</si>
  <si>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</si>
  <si>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</si>
  <si>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</si>
  <si>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</si>
  <si>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</si>
  <si>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</si>
  <si>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</si>
  <si>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</si>
  <si>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</si>
  <si>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</si>
  <si>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</si>
  <si>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</si>
  <si>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</si>
  <si>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</si>
  <si>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</si>
  <si>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</si>
  <si>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</si>
  <si>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</si>
  <si>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</si>
  <si>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</si>
  <si>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</si>
  <si>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</si>
  <si>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</si>
  <si>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</si>
  <si>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</si>
  <si>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</si>
  <si>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</si>
  <si>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</si>
  <si>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</si>
  <si>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</si>
  <si>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</si>
  <si>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</si>
  <si>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</si>
  <si>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</si>
  <si>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</si>
  <si>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</si>
  <si>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</si>
  <si>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</si>
  <si>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</si>
  <si>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</si>
  <si>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</si>
  <si>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</si>
  <si>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</si>
  <si>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</si>
  <si>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</si>
  <si>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</si>
  <si>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</si>
  <si>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</si>
  <si>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</si>
  <si>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</si>
  <si>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</si>
  <si>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</si>
  <si>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</si>
  <si>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</si>
  <si>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</si>
  <si>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</si>
  <si>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</si>
  <si>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</si>
  <si>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</si>
  <si>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</si>
  <si>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</si>
  <si>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</si>
  <si>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</si>
  <si>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</si>
  <si>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</si>
  <si>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</si>
  <si>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</si>
  <si>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</si>
  <si>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</si>
  <si>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</si>
  <si>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</si>
  <si>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</si>
  <si>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</si>
  <si>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</si>
  <si>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</si>
  <si>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</si>
  <si>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</si>
  <si>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</si>
  <si>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</si>
  <si>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</si>
  <si>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</si>
  <si>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</si>
  <si>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</si>
  <si>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</si>
  <si>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</si>
  <si>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</si>
  <si>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</si>
  <si>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</si>
  <si>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</si>
  <si>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</si>
  <si>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</si>
  <si>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</si>
  <si>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</si>
  <si>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</si>
  <si>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</si>
  <si>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</si>
  <si>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</si>
  <si>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</si>
  <si>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</si>
  <si>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</si>
  <si>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</si>
  <si>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</si>
  <si>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</si>
  <si>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</si>
  <si>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</si>
  <si>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</si>
  <si>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</si>
  <si>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</si>
  <si>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</si>
  <si>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</si>
  <si>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</si>
  <si>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</si>
  <si>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</si>
  <si>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</si>
  <si>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</si>
  <si>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</si>
  <si>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</si>
  <si>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</si>
  <si>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</si>
  <si>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</si>
  <si>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</si>
  <si>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</si>
  <si>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</si>
  <si>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</si>
  <si>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</si>
  <si>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</si>
  <si>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</si>
  <si>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</si>
  <si>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</si>
  <si>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</si>
  <si>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</si>
  <si>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</si>
  <si>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</si>
  <si>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</si>
  <si>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</si>
  <si>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</si>
  <si>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</si>
  <si>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</si>
  <si>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</si>
  <si>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</si>
  <si>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</si>
  <si>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</si>
  <si>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</si>
  <si>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</si>
  <si>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</si>
  <si>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</si>
  <si>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</si>
  <si>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</si>
  <si>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</si>
  <si>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</si>
  <si>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</si>
  <si>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</si>
  <si>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</si>
  <si>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</si>
  <si>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</si>
  <si>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</si>
  <si>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</si>
  <si>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</si>
  <si>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</si>
  <si>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</si>
  <si>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</si>
  <si>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</si>
  <si>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</si>
  <si>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</si>
  <si>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</si>
  <si>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</si>
  <si>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</si>
  <si>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</si>
  <si>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</si>
  <si>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</si>
  <si>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</si>
  <si>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</si>
  <si>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</si>
  <si>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</si>
  <si>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</si>
  <si>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</si>
  <si>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</si>
  <si>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</si>
  <si>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</si>
  <si>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</si>
  <si>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</si>
  <si>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</si>
  <si>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</si>
  <si>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</si>
  <si>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</si>
  <si>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</si>
  <si>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</si>
  <si>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</si>
  <si>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</si>
  <si>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</si>
  <si>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</si>
  <si>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</si>
  <si>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</si>
  <si>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</si>
  <si>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</si>
  <si>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</si>
  <si>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</si>
  <si>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</si>
  <si>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</si>
  <si>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</si>
  <si>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</si>
  <si>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</si>
  <si>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</si>
  <si>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</si>
  <si>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</si>
  <si>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</si>
  <si>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</si>
  <si>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</si>
  <si>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</si>
  <si>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</si>
  <si>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</si>
  <si>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</si>
  <si>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</si>
  <si>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</si>
  <si>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</si>
  <si>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</si>
  <si>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</si>
  <si>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</si>
  <si>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</si>
  <si>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</si>
  <si>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</si>
  <si>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</si>
  <si>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</si>
  <si>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</si>
  <si>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</si>
  <si>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</si>
  <si>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</si>
  <si>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</si>
  <si>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</si>
  <si>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</si>
  <si>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</si>
  <si>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</si>
  <si>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</si>
  <si>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</si>
  <si>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</si>
  <si>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</si>
  <si>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</si>
  <si>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</si>
  <si>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</si>
  <si>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</si>
  <si>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</si>
  <si>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</si>
  <si>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</si>
  <si>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</si>
  <si>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</si>
  <si>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</si>
  <si>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</si>
  <si>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</si>
  <si>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</si>
  <si>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</si>
  <si>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</si>
  <si>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</si>
  <si>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</si>
  <si>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</si>
  <si>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</si>
  <si>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</si>
  <si>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</si>
  <si>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</si>
  <si>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</si>
  <si>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</si>
  <si>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</si>
  <si>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</si>
  <si>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</si>
  <si>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</si>
  <si>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</si>
  <si>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</si>
  <si>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</si>
  <si>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</si>
  <si>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</si>
  <si>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</si>
  <si>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</si>
  <si>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</si>
  <si>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</si>
  <si>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</si>
  <si>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</si>
  <si>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</si>
  <si>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</si>
  <si>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</si>
  <si>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</si>
  <si>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</si>
  <si>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</si>
  <si>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</si>
  <si>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</si>
  <si>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</si>
  <si>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</si>
  <si>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</si>
  <si>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</si>
  <si>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</si>
  <si>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</si>
  <si>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</si>
  <si>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</si>
  <si>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</si>
  <si>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</si>
  <si>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</si>
  <si>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</si>
  <si>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</si>
  <si>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</si>
  <si>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</si>
  <si>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</si>
  <si>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</si>
  <si>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</si>
  <si>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</si>
  <si>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</si>
  <si>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</si>
  <si>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</si>
  <si>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</si>
  <si>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</si>
  <si>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</si>
  <si>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</si>
  <si>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</si>
  <si>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</si>
  <si>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</si>
  <si>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</si>
  <si>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</si>
  <si>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</si>
  <si>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</si>
  <si>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</si>
  <si>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</si>
  <si>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</si>
  <si>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</si>
  <si>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</si>
  <si>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</si>
  <si>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</si>
  <si>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</si>
  <si>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</si>
  <si>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</si>
  <si>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</si>
  <si>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</si>
  <si>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</si>
  <si>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</si>
  <si>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</si>
  <si>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</si>
  <si>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</si>
  <si>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</si>
  <si>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</si>
  <si>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</si>
  <si>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</si>
  <si>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</si>
  <si>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</si>
  <si>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</si>
  <si>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</si>
  <si>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</si>
  <si>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</si>
  <si>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</si>
  <si>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</si>
  <si>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</si>
  <si>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</si>
  <si>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</si>
  <si>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</si>
  <si>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</si>
  <si>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</si>
  <si>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</si>
  <si>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</si>
  <si>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</si>
  <si>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</si>
  <si>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</si>
  <si>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</si>
  <si>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</si>
  <si>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</si>
  <si>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</si>
  <si>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</si>
  <si>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</si>
  <si>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</si>
  <si>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</si>
  <si>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</si>
  <si>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</si>
  <si>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</si>
  <si>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</si>
  <si>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</si>
  <si>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</si>
  <si>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</si>
  <si>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</si>
  <si>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</si>
  <si>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</si>
  <si>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</si>
  <si>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</si>
  <si>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</si>
  <si>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</si>
  <si>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</si>
  <si>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</si>
  <si>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</si>
  <si>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</si>
  <si>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</si>
  <si>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</si>
  <si>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</si>
  <si>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</si>
  <si>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</si>
  <si>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</si>
  <si>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</si>
  <si>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</si>
  <si>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</si>
  <si>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</si>
  <si>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</si>
  <si>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</si>
  <si>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</si>
  <si>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</si>
  <si>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</si>
  <si>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</si>
  <si>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</si>
  <si>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</si>
  <si>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</si>
  <si>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</si>
  <si>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</si>
  <si>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</si>
  <si>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</si>
  <si>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</si>
  <si>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</si>
  <si>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</si>
  <si>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</si>
  <si>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</si>
  <si>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</si>
  <si>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</si>
  <si>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</si>
  <si>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</si>
  <si>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</si>
  <si>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</si>
  <si>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</si>
  <si>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</si>
  <si>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</si>
  <si>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</si>
  <si>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</si>
  <si>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</si>
  <si>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</si>
  <si>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</si>
  <si>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</si>
  <si>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</si>
  <si>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</si>
  <si>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</si>
  <si>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</si>
  <si>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</si>
  <si>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</si>
  <si>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</si>
  <si>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</si>
  <si>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</si>
  <si>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</si>
  <si>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</si>
  <si>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</si>
  <si>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</si>
  <si>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</si>
  <si>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</si>
  <si>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</si>
  <si>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</si>
  <si>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</si>
  <si>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</si>
  <si>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</si>
  <si>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</si>
  <si>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</si>
  <si>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</si>
  <si>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</si>
  <si>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</si>
  <si>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</si>
  <si>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</si>
  <si>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</si>
  <si>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</si>
  <si>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</si>
  <si>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</si>
  <si>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</si>
  <si>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</si>
  <si>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</si>
  <si>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</si>
  <si>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</si>
  <si>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</si>
  <si>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</si>
  <si>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</si>
  <si>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</si>
  <si>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</si>
  <si>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</si>
  <si>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</si>
  <si>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</si>
  <si>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</si>
  <si>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</si>
  <si>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</si>
  <si>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</si>
  <si>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</si>
  <si>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</si>
  <si>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</si>
  <si>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</si>
  <si>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</si>
  <si>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</si>
  <si>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</si>
  <si>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</si>
  <si>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</si>
  <si>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</si>
  <si>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</si>
  <si>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</si>
  <si>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</si>
  <si>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</si>
  <si>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</si>
  <si>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</si>
  <si>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</si>
  <si>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</si>
  <si>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</si>
  <si>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</si>
  <si>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</si>
  <si>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</si>
  <si>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</si>
  <si>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</si>
  <si>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</si>
  <si>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</si>
  <si>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</si>
  <si>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</si>
  <si>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</si>
  <si>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</si>
  <si>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</si>
  <si>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</si>
  <si>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</si>
  <si>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</si>
  <si>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</si>
  <si>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</si>
  <si>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</si>
  <si>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</si>
  <si>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</si>
  <si>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</si>
  <si>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</si>
  <si>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</si>
  <si>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</si>
  <si>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</si>
  <si>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</si>
  <si>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</si>
  <si>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</si>
  <si>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</si>
  <si>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</si>
  <si>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</si>
  <si>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</si>
  <si>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</si>
  <si>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</si>
  <si>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</si>
  <si>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</si>
  <si>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</si>
  <si>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</si>
  <si>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</si>
  <si>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</si>
  <si>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</si>
  <si>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</si>
  <si>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</si>
  <si>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</si>
  <si>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</si>
  <si>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</si>
  <si>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</si>
  <si>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</si>
  <si>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</si>
  <si>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</si>
  <si>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</si>
  <si>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</si>
  <si>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</si>
  <si>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</si>
  <si>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</si>
  <si>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</si>
  <si>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</si>
  <si>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</si>
  <si>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</si>
  <si>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</si>
  <si>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</si>
  <si>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</si>
  <si>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</si>
  <si>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</si>
  <si>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</si>
  <si>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</si>
  <si>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</si>
  <si>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</si>
  <si>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</si>
  <si>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</si>
  <si>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</si>
  <si>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</si>
  <si>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</si>
  <si>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</si>
  <si>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</si>
  <si>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</si>
  <si>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</si>
  <si>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</si>
  <si>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</si>
  <si>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</si>
  <si>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</si>
  <si>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</si>
  <si>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</si>
  <si>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</si>
  <si>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</si>
  <si>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</si>
  <si>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</si>
  <si>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</si>
  <si>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</si>
  <si>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</si>
  <si>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</si>
  <si>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</si>
  <si>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</si>
  <si>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</si>
  <si>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</si>
  <si>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</si>
  <si>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</si>
  <si>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</si>
  <si>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</si>
  <si>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</si>
  <si>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</si>
  <si>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</si>
  <si>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</si>
  <si>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</si>
  <si>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</si>
  <si>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</si>
  <si>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</si>
  <si>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</si>
  <si>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</si>
  <si>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</si>
  <si>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</si>
  <si>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</si>
  <si>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</si>
  <si>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</si>
  <si>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</si>
  <si>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</si>
  <si>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</si>
  <si>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</si>
  <si>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</si>
  <si>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</si>
  <si>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</si>
  <si>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</si>
  <si>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</si>
  <si>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</si>
  <si>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</si>
  <si>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</si>
  <si>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</si>
  <si>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</si>
  <si>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</si>
  <si>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</si>
  <si>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</si>
  <si>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</si>
  <si>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</si>
  <si>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</si>
  <si>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</si>
  <si>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</si>
  <si>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</si>
  <si>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</si>
  <si>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</si>
  <si>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</si>
  <si>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</si>
  <si>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</si>
  <si>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</si>
  <si>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</si>
  <si>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</si>
  <si>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</si>
  <si>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</si>
  <si>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</si>
  <si>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</si>
  <si>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</si>
  <si>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</si>
  <si>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</si>
  <si>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</si>
  <si>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</si>
  <si>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</si>
  <si>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</si>
  <si>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</si>
  <si>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</si>
  <si>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</si>
  <si>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</si>
  <si>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</si>
  <si>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</si>
  <si>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</si>
  <si>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</si>
  <si>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</si>
  <si>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</si>
  <si>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</si>
  <si>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</si>
  <si>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</si>
  <si>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</si>
  <si>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</si>
  <si>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</si>
  <si>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</si>
  <si>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</si>
  <si>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</si>
  <si>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</si>
  <si>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</si>
  <si>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</si>
  <si>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</si>
  <si>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</si>
  <si>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</si>
  <si>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</si>
  <si>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</si>
  <si>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</si>
  <si>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</si>
  <si>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</si>
  <si>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</si>
  <si>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</si>
  <si>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</si>
  <si>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</si>
  <si>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</si>
  <si>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</si>
  <si>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</si>
  <si>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</si>
  <si>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</si>
  <si>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</si>
  <si>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</si>
  <si>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</si>
  <si>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</si>
  <si>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</si>
  <si>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</si>
  <si>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</si>
  <si>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</si>
  <si>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</si>
  <si>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</si>
  <si>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</si>
  <si>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</si>
  <si>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</si>
  <si>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</si>
  <si>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</si>
  <si>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</si>
  <si>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</si>
  <si>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</si>
  <si>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</si>
  <si>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</si>
  <si>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</si>
  <si>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</si>
  <si>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</si>
  <si>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</si>
  <si>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</si>
  <si>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</si>
  <si>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</si>
  <si>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</si>
  <si>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</si>
  <si>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</si>
  <si>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</si>
  <si>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</si>
  <si>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</si>
  <si>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</si>
  <si>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</si>
  <si>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</si>
  <si>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</si>
  <si>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</si>
  <si>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</si>
  <si>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</si>
  <si>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</si>
  <si>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</si>
  <si>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</si>
  <si>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</si>
  <si>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</si>
  <si>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</si>
  <si>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</si>
  <si>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</si>
  <si>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</si>
  <si>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</si>
  <si>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</si>
  <si>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</si>
  <si>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</si>
  <si>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</si>
  <si>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</si>
  <si>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</si>
  <si>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</si>
  <si>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</si>
  <si>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</si>
  <si>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</si>
  <si>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</si>
  <si>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</si>
  <si>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</si>
  <si>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</si>
  <si>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</si>
  <si>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</si>
  <si>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</si>
  <si>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</si>
  <si>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</si>
  <si>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</si>
  <si>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</si>
  <si>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</si>
  <si>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</si>
  <si>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</si>
  <si>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</si>
  <si>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</si>
  <si>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</si>
  <si>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</si>
  <si>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HILLSBORO-DEERING COOPERATIVE</t>
  </si>
  <si>
    <t>07/02</t>
  </si>
  <si>
    <t>07/24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</si>
</sst>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5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251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915540+350</f>
        <v>915890</v>
      </c>
      <c r="G9" s="18"/>
      <c r="H9" s="18"/>
      <c r="I9" s="18"/>
      <c r="J9" s="67">
        <f>SUM(I438)</f>
        <v>457830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65943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211243+161656</f>
        <v>372899</v>
      </c>
      <c r="G13" s="18">
        <f>79822+12034</f>
        <v>91856</v>
      </c>
      <c r="H13" s="18">
        <f>280174+2910</f>
        <v>283084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0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10722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1354732</v>
      </c>
      <c r="G19" s="41">
        <f>SUM(G9:G18)</f>
        <v>102578</v>
      </c>
      <c r="H19" s="41">
        <f>SUM(H9:H18)</f>
        <v>283084</v>
      </c>
      <c r="I19" s="41">
        <f>SUM(I9:I18)</f>
        <v>0</v>
      </c>
      <c r="J19" s="41">
        <f>SUM(J9:J18)</f>
        <v>457830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f>G19-G24-G35</f>
        <v>54803</v>
      </c>
      <c r="H22" s="18">
        <f>36455-26736</f>
        <v>9719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961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744777</v>
      </c>
      <c r="G24" s="18">
        <f>34907+2146</f>
        <v>37053</v>
      </c>
      <c r="H24" s="18">
        <v>28469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8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33148</v>
      </c>
      <c r="G30" s="18"/>
      <c r="H30" s="18">
        <f>249603-2910-2448</f>
        <v>244245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778886</v>
      </c>
      <c r="G32" s="41">
        <f>SUM(G22:G31)</f>
        <v>91856</v>
      </c>
      <c r="H32" s="41">
        <f>SUM(H22:H31)</f>
        <v>282433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f>G16</f>
        <v>10722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274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457830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99178</v>
      </c>
      <c r="G48" s="18">
        <v>0</v>
      </c>
      <c r="H48" s="18">
        <v>651</v>
      </c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426668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575846</v>
      </c>
      <c r="G50" s="41">
        <f>SUM(G35:G49)</f>
        <v>10722</v>
      </c>
      <c r="H50" s="41">
        <f>SUM(H35:H49)</f>
        <v>651</v>
      </c>
      <c r="I50" s="41">
        <f>SUM(I35:I49)</f>
        <v>0</v>
      </c>
      <c r="J50" s="41">
        <f>SUM(J35:J49)</f>
        <v>457830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1354732</v>
      </c>
      <c r="G51" s="41">
        <f>G50+G32</f>
        <v>102578</v>
      </c>
      <c r="H51" s="41">
        <f>H50+H32</f>
        <v>283084</v>
      </c>
      <c r="I51" s="41">
        <f>I50+I32</f>
        <v>0</v>
      </c>
      <c r="J51" s="41">
        <f>J50+J32</f>
        <v>457830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10189376-27484</f>
        <v>10161892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10161892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1536494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1536494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3315</v>
      </c>
      <c r="G95" s="18"/>
      <c r="H95" s="18"/>
      <c r="I95" s="18"/>
      <c r="J95" s="18"/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212319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20000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f>183598-1336</f>
        <v>182262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1770</f>
        <v>1770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25085</v>
      </c>
      <c r="G110" s="41">
        <f>SUM(G95:G109)</f>
        <v>212319</v>
      </c>
      <c r="H110" s="41">
        <f>SUM(H95:H109)</f>
        <v>182262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11723471</v>
      </c>
      <c r="G111" s="41">
        <f>G59+G110</f>
        <v>212319</v>
      </c>
      <c r="H111" s="41">
        <f>H59+H78+H93+H110</f>
        <v>182262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6186649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f>1522783+26523</f>
        <v>1549306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7735955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368556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189270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17491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5969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575317</v>
      </c>
      <c r="G135" s="41">
        <f>SUM(G122:G134)</f>
        <v>5969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8311272</v>
      </c>
      <c r="G139" s="41">
        <f>G120+SUM(G135:G136)</f>
        <v>5969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772952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685016-183598</f>
        <v>501418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299811+12034</f>
        <v>311845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140715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140715</v>
      </c>
      <c r="G161" s="41">
        <f>SUM(G149:G160)</f>
        <v>311845</v>
      </c>
      <c r="H161" s="41">
        <f>SUM(H149:H160)</f>
        <v>1274370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140715</v>
      </c>
      <c r="G168" s="41">
        <f>G146+G161+SUM(G162:G167)</f>
        <v>311845</v>
      </c>
      <c r="H168" s="41">
        <f>H146+H161+SUM(H162:H167)</f>
        <v>1274370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78894</v>
      </c>
      <c r="H178" s="18"/>
      <c r="I178" s="18"/>
      <c r="J178" s="18">
        <v>100000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1333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1333</v>
      </c>
      <c r="G182" s="41">
        <f>SUM(G178:G181)</f>
        <v>78894</v>
      </c>
      <c r="H182" s="41">
        <f>SUM(H178:H181)</f>
        <v>0</v>
      </c>
      <c r="I182" s="41">
        <f>SUM(I178:I181)</f>
        <v>0</v>
      </c>
      <c r="J182" s="41">
        <f>SUM(J178:J181)</f>
        <v>100000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1333</v>
      </c>
      <c r="G191" s="41">
        <f>G182+SUM(G187:G190)</f>
        <v>78894</v>
      </c>
      <c r="H191" s="41">
        <f>+H182+SUM(H187:H190)</f>
        <v>0</v>
      </c>
      <c r="I191" s="41">
        <f>I176+I182+SUM(I187:I190)</f>
        <v>0</v>
      </c>
      <c r="J191" s="41">
        <f>J182</f>
        <v>100000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20176791</v>
      </c>
      <c r="G192" s="47">
        <f>G111+G139+G168+G191</f>
        <v>609027</v>
      </c>
      <c r="H192" s="47">
        <f>H111+H139+H168+H191</f>
        <v>1456632</v>
      </c>
      <c r="I192" s="47">
        <f>I111+I139+I168+I191</f>
        <v>0</v>
      </c>
      <c r="J192" s="47">
        <f>J111+J139+J191</f>
        <v>100000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2077238+12800</f>
        <v>2090038</v>
      </c>
      <c r="G196" s="18">
        <f>869907+35+40+979</f>
        <v>870961</v>
      </c>
      <c r="H196" s="18">
        <v>105</v>
      </c>
      <c r="I196" s="18">
        <v>62422</v>
      </c>
      <c r="J196" s="18">
        <v>13000</v>
      </c>
      <c r="K196" s="18">
        <v>0</v>
      </c>
      <c r="L196" s="19">
        <f>SUM(F196:K196)</f>
        <v>3036526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790258+85084</f>
        <v>875342</v>
      </c>
      <c r="G197" s="18">
        <f>496480+15434+1279+151+261+6345+9506</f>
        <v>529456</v>
      </c>
      <c r="H197" s="18">
        <f>40758+540</f>
        <v>41298</v>
      </c>
      <c r="I197" s="18">
        <v>5870</v>
      </c>
      <c r="J197" s="18">
        <v>2401</v>
      </c>
      <c r="K197" s="18">
        <v>0</v>
      </c>
      <c r="L197" s="19">
        <f>SUM(F197:K197)</f>
        <v>1454367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2700</v>
      </c>
      <c r="G199" s="18">
        <v>449</v>
      </c>
      <c r="H199" s="18"/>
      <c r="I199" s="18"/>
      <c r="J199" s="18"/>
      <c r="K199" s="18"/>
      <c r="L199" s="19">
        <f>SUM(F199:K199)</f>
        <v>3149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440615+21399</f>
        <v>462014</v>
      </c>
      <c r="G201" s="18">
        <f>214860+13212</f>
        <v>228072</v>
      </c>
      <c r="H201" s="18">
        <v>31678</v>
      </c>
      <c r="I201" s="18">
        <f>4418+204</f>
        <v>4622</v>
      </c>
      <c r="J201" s="18">
        <v>0</v>
      </c>
      <c r="K201" s="18">
        <v>0</v>
      </c>
      <c r="L201" s="19">
        <f t="shared" ref="L201:L207" si="0">SUM(F201:K201)</f>
        <v>726386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86772+85447</f>
        <v>172219</v>
      </c>
      <c r="G202" s="18">
        <f>43081+44793</f>
        <v>87874</v>
      </c>
      <c r="H202" s="18">
        <f>725+9632</f>
        <v>10357</v>
      </c>
      <c r="I202" s="18">
        <f>10924+36330</f>
        <v>47254</v>
      </c>
      <c r="J202" s="18">
        <f>6632+66531</f>
        <v>73163</v>
      </c>
      <c r="K202" s="18">
        <v>79</v>
      </c>
      <c r="L202" s="19">
        <f t="shared" si="0"/>
        <v>390946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3777</v>
      </c>
      <c r="G203" s="18">
        <v>42533</v>
      </c>
      <c r="H203" s="18">
        <v>433680</v>
      </c>
      <c r="I203" s="18"/>
      <c r="J203" s="18"/>
      <c r="K203" s="18">
        <v>5565</v>
      </c>
      <c r="L203" s="19">
        <f t="shared" si="0"/>
        <v>485555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218000</v>
      </c>
      <c r="G204" s="18">
        <v>95299</v>
      </c>
      <c r="H204" s="18">
        <v>6943</v>
      </c>
      <c r="I204" s="18">
        <v>2691</v>
      </c>
      <c r="J204" s="18">
        <v>0</v>
      </c>
      <c r="K204" s="18">
        <v>1200</v>
      </c>
      <c r="L204" s="19">
        <f t="shared" si="0"/>
        <v>324133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>
        <v>3483</v>
      </c>
      <c r="J205" s="18"/>
      <c r="K205" s="18"/>
      <c r="L205" s="19">
        <f t="shared" si="0"/>
        <v>3483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72238</v>
      </c>
      <c r="G206" s="18">
        <v>29514</v>
      </c>
      <c r="H206" s="18">
        <v>486109</v>
      </c>
      <c r="I206" s="18">
        <v>231060</v>
      </c>
      <c r="J206" s="18">
        <v>97</v>
      </c>
      <c r="K206" s="18"/>
      <c r="L206" s="19">
        <f t="shared" si="0"/>
        <v>819018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14531+293656</f>
        <v>308187</v>
      </c>
      <c r="I207" s="18"/>
      <c r="J207" s="18"/>
      <c r="K207" s="18"/>
      <c r="L207" s="19">
        <f t="shared" si="0"/>
        <v>308187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3896328</v>
      </c>
      <c r="G210" s="41">
        <f t="shared" si="1"/>
        <v>1884158</v>
      </c>
      <c r="H210" s="41">
        <f t="shared" si="1"/>
        <v>1318357</v>
      </c>
      <c r="I210" s="41">
        <f t="shared" si="1"/>
        <v>357402</v>
      </c>
      <c r="J210" s="41">
        <f t="shared" si="1"/>
        <v>88661</v>
      </c>
      <c r="K210" s="41">
        <f t="shared" si="1"/>
        <v>6844</v>
      </c>
      <c r="L210" s="41">
        <f t="shared" si="1"/>
        <v>7551750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1252705+6778</f>
        <v>1259483</v>
      </c>
      <c r="G214" s="18">
        <f>589040+18+21+519</f>
        <v>589598</v>
      </c>
      <c r="H214" s="18">
        <v>3784</v>
      </c>
      <c r="I214" s="18">
        <v>90777</v>
      </c>
      <c r="J214" s="18">
        <v>298</v>
      </c>
      <c r="K214" s="18">
        <v>9349</v>
      </c>
      <c r="L214" s="19">
        <f>SUM(F214:K214)</f>
        <v>1953289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418408+45054</f>
        <v>463462</v>
      </c>
      <c r="G215" s="18">
        <f>239714+17463</f>
        <v>257177</v>
      </c>
      <c r="H215" s="18">
        <f>149355+285</f>
        <v>149640</v>
      </c>
      <c r="I215" s="18">
        <v>1420</v>
      </c>
      <c r="J215" s="18">
        <v>60</v>
      </c>
      <c r="K215" s="18">
        <v>0</v>
      </c>
      <c r="L215" s="19">
        <f>SUM(F215:K215)</f>
        <v>871759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6250</v>
      </c>
      <c r="G217" s="18">
        <v>1155</v>
      </c>
      <c r="H217" s="18">
        <v>20000</v>
      </c>
      <c r="I217" s="18">
        <v>476</v>
      </c>
      <c r="J217" s="18">
        <v>0</v>
      </c>
      <c r="K217" s="18">
        <v>798</v>
      </c>
      <c r="L217" s="19">
        <f>SUM(F217:K217)</f>
        <v>28679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185844+11331</f>
        <v>197175</v>
      </c>
      <c r="G219" s="18">
        <f>103391+6996</f>
        <v>110387</v>
      </c>
      <c r="H219" s="18">
        <v>16774</v>
      </c>
      <c r="I219" s="18">
        <v>2609</v>
      </c>
      <c r="J219" s="18">
        <f>156+108</f>
        <v>264</v>
      </c>
      <c r="K219" s="18">
        <v>0</v>
      </c>
      <c r="L219" s="19">
        <f t="shared" ref="L219:L225" si="2">SUM(F219:K219)</f>
        <v>327209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63874+45246</f>
        <v>109120</v>
      </c>
      <c r="G220" s="18">
        <f>53442+23719</f>
        <v>77161</v>
      </c>
      <c r="H220" s="18">
        <f>314+5100</f>
        <v>5414</v>
      </c>
      <c r="I220" s="18">
        <f>8515+19237</f>
        <v>27752</v>
      </c>
      <c r="J220" s="18">
        <f>8154+35229</f>
        <v>43383</v>
      </c>
      <c r="K220" s="18">
        <v>42</v>
      </c>
      <c r="L220" s="19">
        <f t="shared" si="2"/>
        <v>262872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2000</v>
      </c>
      <c r="G221" s="18">
        <v>22522</v>
      </c>
      <c r="H221" s="18">
        <f>229642+5</f>
        <v>229647</v>
      </c>
      <c r="I221" s="18"/>
      <c r="J221" s="18"/>
      <c r="K221" s="18">
        <v>2947</v>
      </c>
      <c r="L221" s="19">
        <f t="shared" si="2"/>
        <v>257116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201724</v>
      </c>
      <c r="G222" s="18">
        <v>104596</v>
      </c>
      <c r="H222" s="18">
        <v>7198</v>
      </c>
      <c r="I222" s="18">
        <v>3291</v>
      </c>
      <c r="J222" s="18">
        <v>0</v>
      </c>
      <c r="K222" s="18">
        <v>3525</v>
      </c>
      <c r="L222" s="19">
        <f t="shared" si="2"/>
        <v>320334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>
        <v>1844</v>
      </c>
      <c r="J223" s="18"/>
      <c r="K223" s="18"/>
      <c r="L223" s="19">
        <f t="shared" si="2"/>
        <v>1844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38251</v>
      </c>
      <c r="G224" s="18">
        <v>15628</v>
      </c>
      <c r="H224" s="18">
        <v>257404</v>
      </c>
      <c r="I224" s="18">
        <v>122351</v>
      </c>
      <c r="J224" s="18">
        <v>51</v>
      </c>
      <c r="K224" s="18"/>
      <c r="L224" s="19">
        <f t="shared" si="2"/>
        <v>433685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26260+155497</f>
        <v>181757</v>
      </c>
      <c r="I225" s="18"/>
      <c r="J225" s="18"/>
      <c r="K225" s="18"/>
      <c r="L225" s="19">
        <f t="shared" si="2"/>
        <v>181757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2277465</v>
      </c>
      <c r="G228" s="41">
        <f>SUM(G214:G227)</f>
        <v>1178224</v>
      </c>
      <c r="H228" s="41">
        <f>SUM(H214:H227)</f>
        <v>871618</v>
      </c>
      <c r="I228" s="41">
        <f>SUM(I214:I227)</f>
        <v>250520</v>
      </c>
      <c r="J228" s="41">
        <f>SUM(J214:J227)</f>
        <v>44056</v>
      </c>
      <c r="K228" s="41">
        <f t="shared" si="3"/>
        <v>16661</v>
      </c>
      <c r="L228" s="41">
        <f t="shared" si="3"/>
        <v>4638544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1771094+9565</f>
        <v>1780659</v>
      </c>
      <c r="G232" s="18">
        <f>903905+26+29+732</f>
        <v>904692</v>
      </c>
      <c r="H232" s="18">
        <v>27316</v>
      </c>
      <c r="I232" s="18">
        <v>88035</v>
      </c>
      <c r="J232" s="18">
        <v>4094</v>
      </c>
      <c r="K232" s="18">
        <v>3576</v>
      </c>
      <c r="L232" s="19">
        <f>SUM(F232:K232)</f>
        <v>2808372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626843+63578</f>
        <v>690421</v>
      </c>
      <c r="G233" s="18">
        <f>383890+24643</f>
        <v>408533</v>
      </c>
      <c r="H233" s="18">
        <f>487555+403</f>
        <v>487958</v>
      </c>
      <c r="I233" s="18">
        <v>6849</v>
      </c>
      <c r="J233" s="18">
        <v>660</v>
      </c>
      <c r="K233" s="18">
        <v>530</v>
      </c>
      <c r="L233" s="19">
        <f>SUM(F233:K233)</f>
        <v>1594951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48343</v>
      </c>
      <c r="I234" s="18"/>
      <c r="J234" s="18"/>
      <c r="K234" s="18"/>
      <c r="L234" s="19">
        <f>SUM(F234:K234)</f>
        <v>48343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83692</v>
      </c>
      <c r="G235" s="18">
        <v>13359</v>
      </c>
      <c r="H235" s="18">
        <v>19077</v>
      </c>
      <c r="I235" s="18">
        <v>15117</v>
      </c>
      <c r="J235" s="18">
        <v>10548</v>
      </c>
      <c r="K235" s="18">
        <v>9938</v>
      </c>
      <c r="L235" s="19">
        <f>SUM(F235:K235)</f>
        <v>151731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239959+15990</f>
        <v>255949</v>
      </c>
      <c r="G237" s="18">
        <f>92919+9872</f>
        <v>102791</v>
      </c>
      <c r="H237" s="18">
        <f>5849+23617</f>
        <v>29466</v>
      </c>
      <c r="I237" s="18">
        <f>2461+152</f>
        <v>2613</v>
      </c>
      <c r="J237" s="18">
        <v>299</v>
      </c>
      <c r="K237" s="18">
        <v>0</v>
      </c>
      <c r="L237" s="19">
        <f t="shared" ref="L237:L243" si="4">SUM(F237:K237)</f>
        <v>391118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63275+63849</f>
        <v>127124</v>
      </c>
      <c r="G238" s="18">
        <f>32539+33471</f>
        <v>66010</v>
      </c>
      <c r="H238" s="18">
        <f>850+7197</f>
        <v>8047</v>
      </c>
      <c r="I238" s="18">
        <f>11374+27147</f>
        <v>38521</v>
      </c>
      <c r="J238" s="18">
        <f>9615+49714</f>
        <v>59329</v>
      </c>
      <c r="K238" s="18">
        <v>59</v>
      </c>
      <c r="L238" s="19">
        <f t="shared" si="4"/>
        <v>299090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2823</v>
      </c>
      <c r="G239" s="18">
        <v>31782</v>
      </c>
      <c r="H239" s="18">
        <v>324060</v>
      </c>
      <c r="I239" s="18"/>
      <c r="J239" s="18"/>
      <c r="K239" s="18">
        <v>4159</v>
      </c>
      <c r="L239" s="19">
        <f t="shared" si="4"/>
        <v>362824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217686</v>
      </c>
      <c r="G240" s="18">
        <v>78123</v>
      </c>
      <c r="H240" s="18">
        <v>8036</v>
      </c>
      <c r="I240" s="18">
        <v>3621</v>
      </c>
      <c r="J240" s="18">
        <v>847</v>
      </c>
      <c r="K240" s="18">
        <v>12231</v>
      </c>
      <c r="L240" s="19">
        <f t="shared" si="4"/>
        <v>320544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>
        <v>2603</v>
      </c>
      <c r="J241" s="18"/>
      <c r="K241" s="18"/>
      <c r="L241" s="19">
        <f t="shared" si="4"/>
        <v>2603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53978</v>
      </c>
      <c r="G242" s="18">
        <v>22054</v>
      </c>
      <c r="H242" s="18">
        <f>54267+363236</f>
        <v>417503</v>
      </c>
      <c r="I242" s="18">
        <f>15460+172655</f>
        <v>188115</v>
      </c>
      <c r="J242" s="18">
        <v>72</v>
      </c>
      <c r="K242" s="18"/>
      <c r="L242" s="19">
        <f t="shared" si="4"/>
        <v>681722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81847+219430+56</f>
        <v>301333</v>
      </c>
      <c r="I243" s="18"/>
      <c r="J243" s="18"/>
      <c r="K243" s="18"/>
      <c r="L243" s="19">
        <f t="shared" si="4"/>
        <v>301333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3212332</v>
      </c>
      <c r="G246" s="41">
        <f t="shared" si="5"/>
        <v>1627344</v>
      </c>
      <c r="H246" s="41">
        <f t="shared" si="5"/>
        <v>1671139</v>
      </c>
      <c r="I246" s="41">
        <f t="shared" si="5"/>
        <v>345474</v>
      </c>
      <c r="J246" s="41">
        <f t="shared" si="5"/>
        <v>75849</v>
      </c>
      <c r="K246" s="41">
        <f t="shared" si="5"/>
        <v>30493</v>
      </c>
      <c r="L246" s="41">
        <f t="shared" si="5"/>
        <v>6962631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9386125</v>
      </c>
      <c r="G256" s="41">
        <f t="shared" si="8"/>
        <v>4689726</v>
      </c>
      <c r="H256" s="41">
        <f t="shared" si="8"/>
        <v>3861114</v>
      </c>
      <c r="I256" s="41">
        <f t="shared" si="8"/>
        <v>953396</v>
      </c>
      <c r="J256" s="41">
        <f t="shared" si="8"/>
        <v>208566</v>
      </c>
      <c r="K256" s="41">
        <f t="shared" si="8"/>
        <v>53998</v>
      </c>
      <c r="L256" s="41">
        <f t="shared" si="8"/>
        <v>19152925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740000</v>
      </c>
      <c r="L259" s="19">
        <f>SUM(F259:K259)</f>
        <v>740000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330443</v>
      </c>
      <c r="L260" s="19">
        <f>SUM(F260:K260)</f>
        <v>330443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78894</v>
      </c>
      <c r="L262" s="19">
        <f>SUM(F262:K262)</f>
        <v>78894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100000</v>
      </c>
      <c r="L265" s="19">
        <f t="shared" si="9"/>
        <v>100000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1249337</v>
      </c>
      <c r="L269" s="41">
        <f t="shared" si="9"/>
        <v>1249337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9386125</v>
      </c>
      <c r="G270" s="42">
        <f t="shared" si="11"/>
        <v>4689726</v>
      </c>
      <c r="H270" s="42">
        <f t="shared" si="11"/>
        <v>3861114</v>
      </c>
      <c r="I270" s="42">
        <f t="shared" si="11"/>
        <v>953396</v>
      </c>
      <c r="J270" s="42">
        <f t="shared" si="11"/>
        <v>208566</v>
      </c>
      <c r="K270" s="42">
        <f t="shared" si="11"/>
        <v>1303335</v>
      </c>
      <c r="L270" s="42">
        <f t="shared" si="11"/>
        <v>20402262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525193+64973</f>
        <v>590166</v>
      </c>
      <c r="G275" s="18">
        <f>168526+16189+1</f>
        <v>184716</v>
      </c>
      <c r="H275" s="18">
        <f>138033+3590</f>
        <v>141623</v>
      </c>
      <c r="I275" s="18">
        <f>42681+8775</f>
        <v>51456</v>
      </c>
      <c r="J275" s="18">
        <v>33737</v>
      </c>
      <c r="K275" s="18"/>
      <c r="L275" s="19">
        <f>SUM(F275:K275)</f>
        <v>1001698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590166</v>
      </c>
      <c r="G289" s="42">
        <f t="shared" si="13"/>
        <v>184716</v>
      </c>
      <c r="H289" s="42">
        <f t="shared" si="13"/>
        <v>141623</v>
      </c>
      <c r="I289" s="42">
        <f t="shared" si="13"/>
        <v>51456</v>
      </c>
      <c r="J289" s="42">
        <f t="shared" si="13"/>
        <v>33737</v>
      </c>
      <c r="K289" s="42">
        <f t="shared" si="13"/>
        <v>0</v>
      </c>
      <c r="L289" s="41">
        <f t="shared" si="13"/>
        <v>1001698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60580+31161</f>
        <v>91741</v>
      </c>
      <c r="G294" s="18">
        <f>19382+4860</f>
        <v>24242</v>
      </c>
      <c r="H294" s="18">
        <f>8612+14873</f>
        <v>23485</v>
      </c>
      <c r="I294" s="18">
        <f>4307+4056</f>
        <v>8363</v>
      </c>
      <c r="J294" s="18">
        <v>399</v>
      </c>
      <c r="K294" s="18"/>
      <c r="L294" s="19">
        <f>SUM(F294:K294)</f>
        <v>148230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91741</v>
      </c>
      <c r="G308" s="42">
        <f t="shared" si="15"/>
        <v>24242</v>
      </c>
      <c r="H308" s="42">
        <f t="shared" si="15"/>
        <v>23485</v>
      </c>
      <c r="I308" s="42">
        <f t="shared" si="15"/>
        <v>8363</v>
      </c>
      <c r="J308" s="42">
        <f t="shared" si="15"/>
        <v>399</v>
      </c>
      <c r="K308" s="42">
        <f t="shared" si="15"/>
        <v>0</v>
      </c>
      <c r="L308" s="41">
        <f t="shared" si="15"/>
        <v>148230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88730</v>
      </c>
      <c r="G313" s="18">
        <v>29470</v>
      </c>
      <c r="H313" s="18">
        <v>96805</v>
      </c>
      <c r="I313" s="18">
        <f>50062+8386</f>
        <v>58448</v>
      </c>
      <c r="J313" s="18">
        <v>32600</v>
      </c>
      <c r="K313" s="18"/>
      <c r="L313" s="19">
        <f>SUM(F313:K313)</f>
        <v>306053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88730</v>
      </c>
      <c r="G327" s="42">
        <f t="shared" si="17"/>
        <v>29470</v>
      </c>
      <c r="H327" s="42">
        <f t="shared" si="17"/>
        <v>96805</v>
      </c>
      <c r="I327" s="42">
        <f t="shared" si="17"/>
        <v>58448</v>
      </c>
      <c r="J327" s="42">
        <f t="shared" si="17"/>
        <v>32600</v>
      </c>
      <c r="K327" s="42">
        <f t="shared" si="17"/>
        <v>0</v>
      </c>
      <c r="L327" s="41">
        <f t="shared" si="17"/>
        <v>306053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770637</v>
      </c>
      <c r="G337" s="41">
        <f t="shared" si="20"/>
        <v>238428</v>
      </c>
      <c r="H337" s="41">
        <f t="shared" si="20"/>
        <v>261913</v>
      </c>
      <c r="I337" s="41">
        <f t="shared" si="20"/>
        <v>118267</v>
      </c>
      <c r="J337" s="41">
        <f t="shared" si="20"/>
        <v>66736</v>
      </c>
      <c r="K337" s="41">
        <f t="shared" si="20"/>
        <v>0</v>
      </c>
      <c r="L337" s="41">
        <f t="shared" si="20"/>
        <v>1455981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770637</v>
      </c>
      <c r="G351" s="41">
        <f>G337</f>
        <v>238428</v>
      </c>
      <c r="H351" s="41">
        <f>H337</f>
        <v>261913</v>
      </c>
      <c r="I351" s="41">
        <f>I337</f>
        <v>118267</v>
      </c>
      <c r="J351" s="41">
        <f>J337</f>
        <v>66736</v>
      </c>
      <c r="K351" s="47">
        <f>K337+K350</f>
        <v>0</v>
      </c>
      <c r="L351" s="41">
        <f>L337+L350</f>
        <v>1455981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82934</v>
      </c>
      <c r="G357" s="18">
        <v>44683</v>
      </c>
      <c r="H357" s="18">
        <v>3541</v>
      </c>
      <c r="I357" s="18">
        <v>116838</v>
      </c>
      <c r="J357" s="18">
        <v>6459</v>
      </c>
      <c r="K357" s="18"/>
      <c r="L357" s="13">
        <f>SUM(F357:K357)</f>
        <v>254455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54797</v>
      </c>
      <c r="G358" s="18">
        <v>9714</v>
      </c>
      <c r="H358" s="18">
        <v>1875</v>
      </c>
      <c r="I358" s="18">
        <v>87970</v>
      </c>
      <c r="J358" s="18">
        <v>6459</v>
      </c>
      <c r="K358" s="18"/>
      <c r="L358" s="19">
        <f>SUM(F358:K358)</f>
        <v>160815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73108</v>
      </c>
      <c r="G359" s="18">
        <v>49028</v>
      </c>
      <c r="H359" s="18">
        <v>2646</v>
      </c>
      <c r="I359" s="18">
        <v>68664</v>
      </c>
      <c r="J359" s="18"/>
      <c r="K359" s="18"/>
      <c r="L359" s="19">
        <f>SUM(F359:K359)</f>
        <v>193446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210839</v>
      </c>
      <c r="G361" s="47">
        <f t="shared" si="22"/>
        <v>103425</v>
      </c>
      <c r="H361" s="47">
        <f t="shared" si="22"/>
        <v>8062</v>
      </c>
      <c r="I361" s="47">
        <f t="shared" si="22"/>
        <v>273472</v>
      </c>
      <c r="J361" s="47">
        <f t="shared" si="22"/>
        <v>12918</v>
      </c>
      <c r="K361" s="47">
        <f t="shared" si="22"/>
        <v>0</v>
      </c>
      <c r="L361" s="47">
        <f t="shared" si="22"/>
        <v>608716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101416</v>
      </c>
      <c r="G366" s="18">
        <v>68420</v>
      </c>
      <c r="H366" s="18">
        <v>54444</v>
      </c>
      <c r="I366" s="56">
        <f>SUM(F366:H366)</f>
        <v>224280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15422</v>
      </c>
      <c r="G367" s="63">
        <v>19550</v>
      </c>
      <c r="H367" s="63">
        <v>14220</v>
      </c>
      <c r="I367" s="56">
        <f>SUM(F367:H367)</f>
        <v>49192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116838</v>
      </c>
      <c r="G368" s="47">
        <f>SUM(G366:G367)</f>
        <v>87970</v>
      </c>
      <c r="H368" s="47">
        <f>SUM(H366:H367)</f>
        <v>68664</v>
      </c>
      <c r="I368" s="47">
        <f>SUM(I366:I367)</f>
        <v>273472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50000</v>
      </c>
      <c r="H395" s="18"/>
      <c r="I395" s="18"/>
      <c r="J395" s="24" t="s">
        <v>289</v>
      </c>
      <c r="K395" s="24" t="s">
        <v>289</v>
      </c>
      <c r="L395" s="56">
        <f t="shared" si="26"/>
        <v>50000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50000</v>
      </c>
      <c r="H396" s="18"/>
      <c r="I396" s="18"/>
      <c r="J396" s="24" t="s">
        <v>289</v>
      </c>
      <c r="K396" s="24" t="s">
        <v>289</v>
      </c>
      <c r="L396" s="56">
        <f t="shared" si="26"/>
        <v>50000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100000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100000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100000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100000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f>357830+100000</f>
        <v>457830</v>
      </c>
      <c r="H438" s="18"/>
      <c r="I438" s="56">
        <f t="shared" ref="I438:I444" si="33">SUM(F438:H438)</f>
        <v>457830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457830</v>
      </c>
      <c r="H445" s="13">
        <f>SUM(H438:H444)</f>
        <v>0</v>
      </c>
      <c r="I445" s="13">
        <f>SUM(I438:I444)</f>
        <v>457830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f>G438</f>
        <v>457830</v>
      </c>
      <c r="H458" s="18"/>
      <c r="I458" s="56">
        <f t="shared" si="34"/>
        <v>457830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457830</v>
      </c>
      <c r="H459" s="83">
        <f>SUM(H453:H458)</f>
        <v>0</v>
      </c>
      <c r="I459" s="83">
        <f>SUM(I453:I458)</f>
        <v>457830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457830</v>
      </c>
      <c r="H460" s="42">
        <f>H451+H459</f>
        <v>0</v>
      </c>
      <c r="I460" s="42">
        <f>I451+I459</f>
        <v>457830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f>801320-3</f>
        <v>801317</v>
      </c>
      <c r="G464" s="18">
        <v>10411</v>
      </c>
      <c r="H464" s="18">
        <v>0</v>
      </c>
      <c r="I464" s="18"/>
      <c r="J464" s="18">
        <v>357830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20176791</v>
      </c>
      <c r="G467" s="18">
        <f>G192</f>
        <v>609027</v>
      </c>
      <c r="H467" s="18">
        <f>H192</f>
        <v>1456632</v>
      </c>
      <c r="I467" s="18"/>
      <c r="J467" s="18">
        <f>J192</f>
        <v>100000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20176791</v>
      </c>
      <c r="G469" s="53">
        <f>SUM(G467:G468)</f>
        <v>609027</v>
      </c>
      <c r="H469" s="53">
        <f>SUM(H467:H468)</f>
        <v>1456632</v>
      </c>
      <c r="I469" s="53">
        <f>SUM(I467:I468)</f>
        <v>0</v>
      </c>
      <c r="J469" s="53">
        <f>SUM(J467:J468)</f>
        <v>100000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20402262</v>
      </c>
      <c r="G471" s="18">
        <f>L361</f>
        <v>608716</v>
      </c>
      <c r="H471" s="18">
        <f>L351</f>
        <v>1455981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20402262</v>
      </c>
      <c r="G473" s="53">
        <f>SUM(G471:G472)</f>
        <v>608716</v>
      </c>
      <c r="H473" s="53">
        <f>SUM(H471:H472)</f>
        <v>1455981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575846</v>
      </c>
      <c r="G475" s="53">
        <f>(G464+G469)- G473</f>
        <v>10722</v>
      </c>
      <c r="H475" s="53">
        <f>(H464+H469)- H473</f>
        <v>651</v>
      </c>
      <c r="I475" s="53">
        <f>(I464+I469)- I473</f>
        <v>0</v>
      </c>
      <c r="J475" s="53">
        <f>(J464+J469)- J473</f>
        <v>457830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14750000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8830000</v>
      </c>
      <c r="G494" s="18"/>
      <c r="H494" s="18"/>
      <c r="I494" s="18"/>
      <c r="J494" s="18"/>
      <c r="K494" s="53">
        <f>SUM(F494:J494)</f>
        <v>8830000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740000</v>
      </c>
      <c r="G496" s="18"/>
      <c r="H496" s="18"/>
      <c r="I496" s="18"/>
      <c r="J496" s="18"/>
      <c r="K496" s="53">
        <f t="shared" si="35"/>
        <v>740000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F494-F496</f>
        <v>8090000</v>
      </c>
      <c r="G497" s="204"/>
      <c r="H497" s="204"/>
      <c r="I497" s="204"/>
      <c r="J497" s="204"/>
      <c r="K497" s="205">
        <f t="shared" si="35"/>
        <v>8090000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1509161</v>
      </c>
      <c r="G498" s="18"/>
      <c r="H498" s="18"/>
      <c r="I498" s="18"/>
      <c r="J498" s="18"/>
      <c r="K498" s="53">
        <f t="shared" si="35"/>
        <v>1509161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9599161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9599161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735000</v>
      </c>
      <c r="G500" s="204"/>
      <c r="H500" s="204"/>
      <c r="I500" s="204"/>
      <c r="J500" s="204"/>
      <c r="K500" s="205">
        <f t="shared" si="35"/>
        <v>735000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312500</v>
      </c>
      <c r="G501" s="18"/>
      <c r="H501" s="18"/>
      <c r="I501" s="18"/>
      <c r="J501" s="18"/>
      <c r="K501" s="53">
        <f t="shared" si="35"/>
        <v>312500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1047500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1047500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790258</v>
      </c>
      <c r="G520" s="18">
        <v>496480</v>
      </c>
      <c r="H520" s="18">
        <v>40758</v>
      </c>
      <c r="I520" s="18">
        <v>5870</v>
      </c>
      <c r="J520" s="18">
        <v>2401</v>
      </c>
      <c r="K520" s="18">
        <v>0</v>
      </c>
      <c r="L520" s="88">
        <f>SUM(F520:K520)</f>
        <v>1335767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418408</v>
      </c>
      <c r="G521" s="18">
        <v>239714</v>
      </c>
      <c r="H521" s="18">
        <v>149355</v>
      </c>
      <c r="I521" s="18">
        <v>1420</v>
      </c>
      <c r="J521" s="18">
        <v>60</v>
      </c>
      <c r="K521" s="18">
        <v>0</v>
      </c>
      <c r="L521" s="88">
        <f>SUM(F521:K521)</f>
        <v>808957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626843</v>
      </c>
      <c r="G522" s="18">
        <v>383890</v>
      </c>
      <c r="H522" s="18">
        <v>487555</v>
      </c>
      <c r="I522" s="18">
        <v>6849</v>
      </c>
      <c r="J522" s="18">
        <v>660</v>
      </c>
      <c r="K522" s="18">
        <v>530</v>
      </c>
      <c r="L522" s="88">
        <f>SUM(F522:K522)</f>
        <v>1506327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1835509</v>
      </c>
      <c r="G523" s="108">
        <f t="shared" ref="G523:L523" si="36">SUM(G520:G522)</f>
        <v>1120084</v>
      </c>
      <c r="H523" s="108">
        <f t="shared" si="36"/>
        <v>677668</v>
      </c>
      <c r="I523" s="108">
        <f t="shared" si="36"/>
        <v>14139</v>
      </c>
      <c r="J523" s="108">
        <f t="shared" si="36"/>
        <v>3121</v>
      </c>
      <c r="K523" s="108">
        <f t="shared" si="36"/>
        <v>530</v>
      </c>
      <c r="L523" s="89">
        <f t="shared" si="36"/>
        <v>3651051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284580</v>
      </c>
      <c r="G525" s="18">
        <v>154569</v>
      </c>
      <c r="H525" s="18">
        <v>1125</v>
      </c>
      <c r="I525" s="18">
        <v>1298</v>
      </c>
      <c r="J525" s="18"/>
      <c r="K525" s="18"/>
      <c r="L525" s="88">
        <f>SUM(F525:K525)</f>
        <v>441572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89552</v>
      </c>
      <c r="G526" s="18">
        <v>44279</v>
      </c>
      <c r="H526" s="18">
        <v>596</v>
      </c>
      <c r="I526" s="18">
        <v>971</v>
      </c>
      <c r="J526" s="18">
        <v>156</v>
      </c>
      <c r="K526" s="18"/>
      <c r="L526" s="88">
        <f>SUM(F526:K526)</f>
        <v>135554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83305</v>
      </c>
      <c r="G527" s="18">
        <v>30753</v>
      </c>
      <c r="H527" s="18">
        <v>841</v>
      </c>
      <c r="I527" s="18">
        <v>1275</v>
      </c>
      <c r="J527" s="18"/>
      <c r="K527" s="18"/>
      <c r="L527" s="88">
        <f>SUM(F527:K527)</f>
        <v>116174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457437</v>
      </c>
      <c r="G528" s="89">
        <f t="shared" ref="G528:L528" si="37">SUM(G525:G527)</f>
        <v>229601</v>
      </c>
      <c r="H528" s="89">
        <f t="shared" si="37"/>
        <v>2562</v>
      </c>
      <c r="I528" s="89">
        <f t="shared" si="37"/>
        <v>3544</v>
      </c>
      <c r="J528" s="89">
        <f t="shared" si="37"/>
        <v>156</v>
      </c>
      <c r="K528" s="89">
        <f t="shared" si="37"/>
        <v>0</v>
      </c>
      <c r="L528" s="89">
        <f t="shared" si="37"/>
        <v>693300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132687</v>
      </c>
      <c r="G530" s="18">
        <v>47212</v>
      </c>
      <c r="H530" s="18">
        <v>540</v>
      </c>
      <c r="I530" s="18"/>
      <c r="J530" s="18"/>
      <c r="K530" s="18"/>
      <c r="L530" s="88">
        <f>SUM(F530:K530)</f>
        <v>180439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70260</v>
      </c>
      <c r="G531" s="18">
        <v>25000</v>
      </c>
      <c r="H531" s="18">
        <v>285</v>
      </c>
      <c r="I531" s="18"/>
      <c r="J531" s="18"/>
      <c r="K531" s="18"/>
      <c r="L531" s="88">
        <f>SUM(F531:K531)</f>
        <v>95545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99148</v>
      </c>
      <c r="G532" s="18">
        <v>35279</v>
      </c>
      <c r="H532" s="18">
        <v>403</v>
      </c>
      <c r="I532" s="18"/>
      <c r="J532" s="18"/>
      <c r="K532" s="18"/>
      <c r="L532" s="88">
        <f>SUM(F532:K532)</f>
        <v>134830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302095</v>
      </c>
      <c r="G533" s="89">
        <f t="shared" ref="G533:L533" si="38">SUM(G530:G532)</f>
        <v>107491</v>
      </c>
      <c r="H533" s="89">
        <f t="shared" si="38"/>
        <v>1228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410814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90332</v>
      </c>
      <c r="I540" s="18"/>
      <c r="J540" s="18"/>
      <c r="K540" s="18"/>
      <c r="L540" s="88">
        <f>SUM(F540:K540)</f>
        <v>90332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47853</v>
      </c>
      <c r="I541" s="18"/>
      <c r="J541" s="18"/>
      <c r="K541" s="18"/>
      <c r="L541" s="88">
        <f>SUM(F541:K541)</f>
        <v>47853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67499</v>
      </c>
      <c r="I542" s="18"/>
      <c r="J542" s="18"/>
      <c r="K542" s="18"/>
      <c r="L542" s="88">
        <f>SUM(F542:K542)</f>
        <v>67499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205684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205684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2595041</v>
      </c>
      <c r="G544" s="89">
        <f t="shared" ref="G544:L544" si="41">G523+G528+G533+G538+G543</f>
        <v>1457176</v>
      </c>
      <c r="H544" s="89">
        <f t="shared" si="41"/>
        <v>887142</v>
      </c>
      <c r="I544" s="89">
        <f t="shared" si="41"/>
        <v>17683</v>
      </c>
      <c r="J544" s="89">
        <f t="shared" si="41"/>
        <v>3277</v>
      </c>
      <c r="K544" s="89">
        <f t="shared" si="41"/>
        <v>530</v>
      </c>
      <c r="L544" s="89">
        <f t="shared" si="41"/>
        <v>4960849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1335767</v>
      </c>
      <c r="G548" s="87">
        <f>L525</f>
        <v>441572</v>
      </c>
      <c r="H548" s="87">
        <f>L530</f>
        <v>180439</v>
      </c>
      <c r="I548" s="87">
        <f>L535</f>
        <v>0</v>
      </c>
      <c r="J548" s="87">
        <f>L540</f>
        <v>90332</v>
      </c>
      <c r="K548" s="87">
        <f>SUM(F548:J548)</f>
        <v>2048110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808957</v>
      </c>
      <c r="G549" s="87">
        <f>L526</f>
        <v>135554</v>
      </c>
      <c r="H549" s="87">
        <f>L531</f>
        <v>95545</v>
      </c>
      <c r="I549" s="87">
        <f>L536</f>
        <v>0</v>
      </c>
      <c r="J549" s="87">
        <f>L541</f>
        <v>47853</v>
      </c>
      <c r="K549" s="87">
        <f>SUM(F549:J549)</f>
        <v>1087909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1506327</v>
      </c>
      <c r="G550" s="87">
        <f>L527</f>
        <v>116174</v>
      </c>
      <c r="H550" s="87">
        <f>L532</f>
        <v>134830</v>
      </c>
      <c r="I550" s="87">
        <f>L537</f>
        <v>0</v>
      </c>
      <c r="J550" s="87">
        <f>L542</f>
        <v>67499</v>
      </c>
      <c r="K550" s="87">
        <f>SUM(F550:J550)</f>
        <v>1824830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3651051</v>
      </c>
      <c r="G551" s="89">
        <f t="shared" si="42"/>
        <v>693300</v>
      </c>
      <c r="H551" s="89">
        <f t="shared" si="42"/>
        <v>410814</v>
      </c>
      <c r="I551" s="89">
        <f t="shared" si="42"/>
        <v>0</v>
      </c>
      <c r="J551" s="89">
        <f t="shared" si="42"/>
        <v>205684</v>
      </c>
      <c r="K551" s="89">
        <f t="shared" si="42"/>
        <v>4960849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23390</v>
      </c>
      <c r="G581" s="18">
        <v>146331</v>
      </c>
      <c r="H581" s="18">
        <v>482002</v>
      </c>
      <c r="I581" s="87">
        <f t="shared" si="47"/>
        <v>651723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48343</v>
      </c>
      <c r="I583" s="87">
        <f t="shared" si="47"/>
        <v>48343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203324</v>
      </c>
      <c r="I590" s="18">
        <v>107664</v>
      </c>
      <c r="J590" s="18">
        <v>151930</v>
      </c>
      <c r="K590" s="104">
        <f t="shared" ref="K590:K596" si="48">SUM(H590:J590)</f>
        <v>462918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90332+6400</f>
        <v>96732</v>
      </c>
      <c r="I591" s="18">
        <v>47833</v>
      </c>
      <c r="J591" s="18">
        <v>67499</v>
      </c>
      <c r="K591" s="104">
        <f t="shared" si="48"/>
        <v>212064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43410</v>
      </c>
      <c r="K592" s="104">
        <f t="shared" si="48"/>
        <v>43410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723</v>
      </c>
      <c r="J593" s="18">
        <f>30857+63-6</f>
        <v>30914</v>
      </c>
      <c r="K593" s="104">
        <f t="shared" si="48"/>
        <v>31637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7329+802</f>
        <v>8131</v>
      </c>
      <c r="I594" s="18">
        <v>25537</v>
      </c>
      <c r="J594" s="18">
        <v>7580</v>
      </c>
      <c r="K594" s="104">
        <f t="shared" si="48"/>
        <v>41248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308187</v>
      </c>
      <c r="I597" s="108">
        <f>SUM(I590:I596)</f>
        <v>181757</v>
      </c>
      <c r="J597" s="108">
        <f>SUM(J590:J596)</f>
        <v>301333</v>
      </c>
      <c r="K597" s="108">
        <f>SUM(K590:K596)</f>
        <v>791277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88661+33737</f>
        <v>122398</v>
      </c>
      <c r="I603" s="18">
        <f>44056+399</f>
        <v>44455</v>
      </c>
      <c r="J603" s="18">
        <f>75849+32600</f>
        <v>108449</v>
      </c>
      <c r="K603" s="104">
        <f>SUM(H603:J603)</f>
        <v>275302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122398</v>
      </c>
      <c r="I604" s="108">
        <f>SUM(I601:I603)</f>
        <v>44455</v>
      </c>
      <c r="J604" s="108">
        <f>SUM(J601:J603)</f>
        <v>108449</v>
      </c>
      <c r="K604" s="108">
        <f>SUM(K601:K603)</f>
        <v>275302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1354732</v>
      </c>
      <c r="H616" s="109">
        <f>SUM(F51)</f>
        <v>1354732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102578</v>
      </c>
      <c r="H617" s="109">
        <f>SUM(G51)</f>
        <v>102578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283084</v>
      </c>
      <c r="H618" s="109">
        <f>SUM(H51)</f>
        <v>283084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457830</v>
      </c>
      <c r="H620" s="109">
        <f>SUM(J51)</f>
        <v>457830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575846</v>
      </c>
      <c r="H621" s="109">
        <f>F475</f>
        <v>575846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10722</v>
      </c>
      <c r="H622" s="109">
        <f>G475</f>
        <v>10722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651</v>
      </c>
      <c r="H623" s="109">
        <f>H475</f>
        <v>651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457830</v>
      </c>
      <c r="H625" s="109">
        <f>J475</f>
        <v>457830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20176791</v>
      </c>
      <c r="H626" s="104">
        <f>SUM(F467)</f>
        <v>20176791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609027</v>
      </c>
      <c r="H627" s="104">
        <f>SUM(G467)</f>
        <v>609027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1456632</v>
      </c>
      <c r="H628" s="104">
        <f>SUM(H467)</f>
        <v>1456632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100000</v>
      </c>
      <c r="H630" s="104">
        <f>SUM(J467)</f>
        <v>100000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20402262</v>
      </c>
      <c r="H631" s="104">
        <f>SUM(F471)</f>
        <v>20402262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1455981</v>
      </c>
      <c r="H632" s="104">
        <f>SUM(H471)</f>
        <v>1455981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273472</v>
      </c>
      <c r="H633" s="104">
        <f>I368</f>
        <v>273472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608716</v>
      </c>
      <c r="H634" s="104">
        <f>SUM(G471)</f>
        <v>608716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100000</v>
      </c>
      <c r="H636" s="164">
        <f>SUM(J467)</f>
        <v>100000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457830</v>
      </c>
      <c r="H639" s="104">
        <f>SUM(G460)</f>
        <v>457830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457830</v>
      </c>
      <c r="H641" s="104">
        <f>SUM(I460)</f>
        <v>457830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100000</v>
      </c>
      <c r="H644" s="104">
        <f>G407</f>
        <v>100000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100000</v>
      </c>
      <c r="H645" s="104">
        <f>L407</f>
        <v>100000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791277</v>
      </c>
      <c r="H646" s="104">
        <f>L207+L225+L243</f>
        <v>791277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275302</v>
      </c>
      <c r="H647" s="104">
        <f>(J256+J337)-(J254+J335)</f>
        <v>275302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308187</v>
      </c>
      <c r="H648" s="104">
        <f>H597</f>
        <v>308187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181757</v>
      </c>
      <c r="H649" s="104">
        <f>I597</f>
        <v>181757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301333</v>
      </c>
      <c r="H650" s="104">
        <f>J597</f>
        <v>301333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78894</v>
      </c>
      <c r="H651" s="104">
        <f>K262+K344</f>
        <v>78894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100000</v>
      </c>
      <c r="H654" s="104">
        <f>K265+K346</f>
        <v>100000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8807903</v>
      </c>
      <c r="G659" s="19">
        <f>(L228+L308+L358)</f>
        <v>4947589</v>
      </c>
      <c r="H659" s="19">
        <f>(L246+L327+L359)</f>
        <v>7462130</v>
      </c>
      <c r="I659" s="19">
        <f>SUM(F659:H659)</f>
        <v>21217622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88753.427123650428</v>
      </c>
      <c r="G660" s="19">
        <f>(L358/IF(SUM(L357:L359)=0,1,SUM(L357:L359))*(SUM(G96:G109)))</f>
        <v>56091.97061519658</v>
      </c>
      <c r="H660" s="19">
        <f>(L359/IF(SUM(L357:L359)=0,1,SUM(L357:L359))*(SUM(G96:G109)))</f>
        <v>67473.602261152992</v>
      </c>
      <c r="I660" s="19">
        <f>SUM(F660:H660)</f>
        <v>212319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308187</v>
      </c>
      <c r="G661" s="19">
        <f>(L225+L305)-(J225+J305)</f>
        <v>181757</v>
      </c>
      <c r="H661" s="19">
        <f>(L243+L324)-(J243+J324)</f>
        <v>301333</v>
      </c>
      <c r="I661" s="19">
        <f>SUM(F661:H661)</f>
        <v>791277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145788</v>
      </c>
      <c r="G662" s="199">
        <f>SUM(G574:G586)+SUM(I601:I603)+L611</f>
        <v>190786</v>
      </c>
      <c r="H662" s="199">
        <f>SUM(H574:H586)+SUM(J601:J603)+L612</f>
        <v>638794</v>
      </c>
      <c r="I662" s="19">
        <f>SUM(F662:H662)</f>
        <v>975368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8265174.5728763491</v>
      </c>
      <c r="G663" s="19">
        <f>G659-SUM(G660:G662)</f>
        <v>4518954.029384803</v>
      </c>
      <c r="H663" s="19">
        <f>H659-SUM(H660:H662)</f>
        <v>6454529.397738847</v>
      </c>
      <c r="I663" s="19">
        <f>I659-SUM(I660:I662)</f>
        <v>19238658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531.95000000000005</v>
      </c>
      <c r="G664" s="248">
        <v>289.44</v>
      </c>
      <c r="H664" s="248">
        <v>396.04</v>
      </c>
      <c r="I664" s="19">
        <f>SUM(F664:H664)</f>
        <v>1217.43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15537.5</v>
      </c>
      <c r="G666" s="19">
        <f>ROUND(G663/G664,2)</f>
        <v>15612.75</v>
      </c>
      <c r="H666" s="19">
        <f>ROUND(H663/H664,2)</f>
        <v>16297.67</v>
      </c>
      <c r="I666" s="19">
        <f>ROUND(I663/I664,2)</f>
        <v>15802.68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-9.9700000000000006</v>
      </c>
      <c r="I669" s="19">
        <f>SUM(F669:H669)</f>
        <v>-9.9700000000000006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15537.5</v>
      </c>
      <c r="G671" s="19">
        <f>ROUND((G663+G668)/(G664+G669),2)</f>
        <v>15612.75</v>
      </c>
      <c r="H671" s="19">
        <f>ROUND((H663+H668)/(H664+H669),2)</f>
        <v>16718.55</v>
      </c>
      <c r="I671" s="19">
        <f>ROUND((I663+I668)/(I664+I669),2)</f>
        <v>15933.16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HILLSBORO-DEERING COOPERATIVE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5900817</v>
      </c>
      <c r="C9" s="229">
        <f>'DOE25'!G196+'DOE25'!G214+'DOE25'!G232+'DOE25'!G275+'DOE25'!G294+'DOE25'!G313</f>
        <v>2603679</v>
      </c>
    </row>
    <row r="10" spans="1:3" x14ac:dyDescent="0.2">
      <c r="A10" t="s">
        <v>779</v>
      </c>
      <c r="B10" s="240">
        <v>5671234</v>
      </c>
      <c r="C10" s="240">
        <v>2121033</v>
      </c>
    </row>
    <row r="11" spans="1:3" x14ac:dyDescent="0.2">
      <c r="A11" t="s">
        <v>780</v>
      </c>
      <c r="B11" s="240">
        <v>82137</v>
      </c>
      <c r="C11" s="240">
        <v>313054</v>
      </c>
    </row>
    <row r="12" spans="1:3" x14ac:dyDescent="0.2">
      <c r="A12" t="s">
        <v>781</v>
      </c>
      <c r="B12" s="240">
        <v>147446</v>
      </c>
      <c r="C12" s="240">
        <v>169592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5900817</v>
      </c>
      <c r="C13" s="231">
        <f>SUM(C10:C12)</f>
        <v>2603679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2029225</v>
      </c>
      <c r="C18" s="229">
        <f>'DOE25'!G197+'DOE25'!G215+'DOE25'!G233+'DOE25'!G276+'DOE25'!G295+'DOE25'!G314</f>
        <v>1195166</v>
      </c>
    </row>
    <row r="19" spans="1:3" x14ac:dyDescent="0.2">
      <c r="A19" t="s">
        <v>779</v>
      </c>
      <c r="B19" s="240">
        <v>1365873</v>
      </c>
      <c r="C19" s="240">
        <v>872618</v>
      </c>
    </row>
    <row r="20" spans="1:3" x14ac:dyDescent="0.2">
      <c r="A20" t="s">
        <v>780</v>
      </c>
      <c r="B20" s="240">
        <v>548332</v>
      </c>
      <c r="C20" s="240">
        <v>173175</v>
      </c>
    </row>
    <row r="21" spans="1:3" x14ac:dyDescent="0.2">
      <c r="A21" t="s">
        <v>781</v>
      </c>
      <c r="B21" s="240">
        <v>115020</v>
      </c>
      <c r="C21" s="240">
        <v>149373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2029225</v>
      </c>
      <c r="C22" s="231">
        <f>SUM(C19:C21)</f>
        <v>1195166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92642</v>
      </c>
      <c r="C36" s="235">
        <f>'DOE25'!G199+'DOE25'!G217+'DOE25'!G235+'DOE25'!G278+'DOE25'!G297+'DOE25'!G316</f>
        <v>14963</v>
      </c>
    </row>
    <row r="37" spans="1:3" x14ac:dyDescent="0.2">
      <c r="A37" t="s">
        <v>779</v>
      </c>
      <c r="B37" s="240">
        <v>32450</v>
      </c>
      <c r="C37" s="240">
        <v>9444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60192</v>
      </c>
      <c r="C39" s="240">
        <v>5519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92642</v>
      </c>
      <c r="C40" s="231">
        <f>SUM(C37:C39)</f>
        <v>14963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HILLSBORO-DEERING COOPERATIVE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11951166</v>
      </c>
      <c r="D5" s="20">
        <f>SUM('DOE25'!L196:L199)+SUM('DOE25'!L214:L217)+SUM('DOE25'!L232:L235)-F5-G5</f>
        <v>11895914</v>
      </c>
      <c r="E5" s="243"/>
      <c r="F5" s="255">
        <f>SUM('DOE25'!J196:J199)+SUM('DOE25'!J214:J217)+SUM('DOE25'!J232:J235)</f>
        <v>31061</v>
      </c>
      <c r="G5" s="53">
        <f>SUM('DOE25'!K196:K199)+SUM('DOE25'!K214:K217)+SUM('DOE25'!K232:K235)</f>
        <v>24191</v>
      </c>
      <c r="H5" s="259"/>
    </row>
    <row r="6" spans="1:9" x14ac:dyDescent="0.2">
      <c r="A6" s="32">
        <v>2100</v>
      </c>
      <c r="B6" t="s">
        <v>801</v>
      </c>
      <c r="C6" s="245">
        <f t="shared" si="0"/>
        <v>1444713</v>
      </c>
      <c r="D6" s="20">
        <f>'DOE25'!L201+'DOE25'!L219+'DOE25'!L237-F6-G6</f>
        <v>1444150</v>
      </c>
      <c r="E6" s="243"/>
      <c r="F6" s="255">
        <f>'DOE25'!J201+'DOE25'!J219+'DOE25'!J237</f>
        <v>563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952908</v>
      </c>
      <c r="D7" s="20">
        <f>'DOE25'!L202+'DOE25'!L220+'DOE25'!L238-F7-G7</f>
        <v>776853</v>
      </c>
      <c r="E7" s="243"/>
      <c r="F7" s="255">
        <f>'DOE25'!J202+'DOE25'!J220+'DOE25'!J238</f>
        <v>175875</v>
      </c>
      <c r="G7" s="53">
        <f>'DOE25'!K202+'DOE25'!K220+'DOE25'!K238</f>
        <v>180</v>
      </c>
      <c r="H7" s="259"/>
    </row>
    <row r="8" spans="1:9" x14ac:dyDescent="0.2">
      <c r="A8" s="32">
        <v>2300</v>
      </c>
      <c r="B8" t="s">
        <v>802</v>
      </c>
      <c r="C8" s="245">
        <f t="shared" si="0"/>
        <v>885107</v>
      </c>
      <c r="D8" s="243"/>
      <c r="E8" s="20">
        <f>'DOE25'!L203+'DOE25'!L221+'DOE25'!L239-F8-G8-D9-D11</f>
        <v>872436</v>
      </c>
      <c r="F8" s="255">
        <f>'DOE25'!J203+'DOE25'!J221+'DOE25'!J239</f>
        <v>0</v>
      </c>
      <c r="G8" s="53">
        <f>'DOE25'!K203+'DOE25'!K221+'DOE25'!K239</f>
        <v>12671</v>
      </c>
      <c r="H8" s="259"/>
    </row>
    <row r="9" spans="1:9" x14ac:dyDescent="0.2">
      <c r="A9" s="32">
        <v>2310</v>
      </c>
      <c r="B9" t="s">
        <v>818</v>
      </c>
      <c r="C9" s="245">
        <f t="shared" si="0"/>
        <v>21929</v>
      </c>
      <c r="D9" s="244">
        <v>21929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27850</v>
      </c>
      <c r="D10" s="243"/>
      <c r="E10" s="244">
        <v>27850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198459</v>
      </c>
      <c r="D11" s="244">
        <v>198459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965011</v>
      </c>
      <c r="D12" s="20">
        <f>'DOE25'!L204+'DOE25'!L222+'DOE25'!L240-F12-G12</f>
        <v>947208</v>
      </c>
      <c r="E12" s="243"/>
      <c r="F12" s="255">
        <f>'DOE25'!J204+'DOE25'!J222+'DOE25'!J240</f>
        <v>847</v>
      </c>
      <c r="G12" s="53">
        <f>'DOE25'!K204+'DOE25'!K222+'DOE25'!K240</f>
        <v>16956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7930</v>
      </c>
      <c r="D13" s="243"/>
      <c r="E13" s="20">
        <f>'DOE25'!L205+'DOE25'!L223+'DOE25'!L241-F13-G13</f>
        <v>7930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1934425</v>
      </c>
      <c r="D14" s="20">
        <f>'DOE25'!L206+'DOE25'!L224+'DOE25'!L242-F14-G14</f>
        <v>1934205</v>
      </c>
      <c r="E14" s="243"/>
      <c r="F14" s="255">
        <f>'DOE25'!J206+'DOE25'!J224+'DOE25'!J242</f>
        <v>220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791277</v>
      </c>
      <c r="D15" s="20">
        <f>'DOE25'!L207+'DOE25'!L225+'DOE25'!L243-F15-G15</f>
        <v>791277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1070443</v>
      </c>
      <c r="D25" s="243"/>
      <c r="E25" s="243"/>
      <c r="F25" s="258"/>
      <c r="G25" s="256"/>
      <c r="H25" s="257">
        <f>'DOE25'!L259+'DOE25'!L260+'DOE25'!L340+'DOE25'!L341</f>
        <v>1070443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384436</v>
      </c>
      <c r="D29" s="20">
        <f>'DOE25'!L357+'DOE25'!L358+'DOE25'!L359-'DOE25'!I366-F29-G29</f>
        <v>371518</v>
      </c>
      <c r="E29" s="243"/>
      <c r="F29" s="255">
        <f>'DOE25'!J357+'DOE25'!J358+'DOE25'!J359</f>
        <v>12918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1455981</v>
      </c>
      <c r="D31" s="20">
        <f>'DOE25'!L289+'DOE25'!L308+'DOE25'!L327+'DOE25'!L332+'DOE25'!L333+'DOE25'!L334-F31-G31</f>
        <v>1389245</v>
      </c>
      <c r="E31" s="243"/>
      <c r="F31" s="255">
        <f>'DOE25'!J289+'DOE25'!J308+'DOE25'!J327+'DOE25'!J332+'DOE25'!J333+'DOE25'!J334</f>
        <v>66736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19770758</v>
      </c>
      <c r="E33" s="246">
        <f>SUM(E5:E31)</f>
        <v>908216</v>
      </c>
      <c r="F33" s="246">
        <f>SUM(F5:F31)</f>
        <v>288220</v>
      </c>
      <c r="G33" s="246">
        <f>SUM(G5:G31)</f>
        <v>53998</v>
      </c>
      <c r="H33" s="246">
        <f>SUM(H5:H31)</f>
        <v>1070443</v>
      </c>
    </row>
    <row r="35" spans="2:8" ht="12" thickBot="1" x14ac:dyDescent="0.25">
      <c r="B35" s="253" t="s">
        <v>847</v>
      </c>
      <c r="D35" s="254">
        <f>E33</f>
        <v>908216</v>
      </c>
      <c r="E35" s="249"/>
    </row>
    <row r="36" spans="2:8" ht="12" thickTop="1" x14ac:dyDescent="0.2">
      <c r="B36" t="s">
        <v>815</v>
      </c>
      <c r="D36" s="20">
        <f>D33</f>
        <v>19770758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HILLSBORO-DEERING COOPERATIVE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915890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457830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65943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372899</v>
      </c>
      <c r="D12" s="95">
        <f>'DOE25'!G13</f>
        <v>91856</v>
      </c>
      <c r="E12" s="95">
        <f>'DOE25'!H13</f>
        <v>283084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10722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1354732</v>
      </c>
      <c r="D18" s="41">
        <f>SUM(D8:D17)</f>
        <v>102578</v>
      </c>
      <c r="E18" s="41">
        <f>SUM(E8:E17)</f>
        <v>283084</v>
      </c>
      <c r="F18" s="41">
        <f>SUM(F8:F17)</f>
        <v>0</v>
      </c>
      <c r="G18" s="41">
        <f>SUM(G8:G17)</f>
        <v>457830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54803</v>
      </c>
      <c r="E21" s="95">
        <f>'DOE25'!H22</f>
        <v>9719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961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744777</v>
      </c>
      <c r="D23" s="95">
        <f>'DOE25'!G24</f>
        <v>37053</v>
      </c>
      <c r="E23" s="95">
        <f>'DOE25'!H24</f>
        <v>28469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33148</v>
      </c>
      <c r="D29" s="95">
        <f>'DOE25'!G30</f>
        <v>0</v>
      </c>
      <c r="E29" s="95">
        <f>'DOE25'!H30</f>
        <v>244245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778886</v>
      </c>
      <c r="D31" s="41">
        <f>SUM(D21:D30)</f>
        <v>91856</v>
      </c>
      <c r="E31" s="41">
        <f>SUM(E21:E30)</f>
        <v>282433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10722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457830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99178</v>
      </c>
      <c r="D47" s="95">
        <f>'DOE25'!G48</f>
        <v>0</v>
      </c>
      <c r="E47" s="95">
        <f>'DOE25'!H48</f>
        <v>651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426668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575846</v>
      </c>
      <c r="D49" s="41">
        <f>SUM(D34:D48)</f>
        <v>10722</v>
      </c>
      <c r="E49" s="41">
        <f>SUM(E34:E48)</f>
        <v>651</v>
      </c>
      <c r="F49" s="41">
        <f>SUM(F34:F48)</f>
        <v>0</v>
      </c>
      <c r="G49" s="41">
        <f>SUM(G34:G48)</f>
        <v>457830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1354732</v>
      </c>
      <c r="D50" s="41">
        <f>D49+D31</f>
        <v>102578</v>
      </c>
      <c r="E50" s="41">
        <f>E49+E31</f>
        <v>283084</v>
      </c>
      <c r="F50" s="41">
        <f>F49+F31</f>
        <v>0</v>
      </c>
      <c r="G50" s="41">
        <f>G49+G31</f>
        <v>457830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10161892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1536494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3315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212319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21770</v>
      </c>
      <c r="D60" s="95">
        <f>SUM('DOE25'!G97:G109)</f>
        <v>0</v>
      </c>
      <c r="E60" s="95">
        <f>SUM('DOE25'!H97:H109)</f>
        <v>182262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1561579</v>
      </c>
      <c r="D61" s="130">
        <f>SUM(D56:D60)</f>
        <v>212319</v>
      </c>
      <c r="E61" s="130">
        <f>SUM(E56:E60)</f>
        <v>182262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11723471</v>
      </c>
      <c r="D62" s="22">
        <f>D55+D61</f>
        <v>212319</v>
      </c>
      <c r="E62" s="22">
        <f>E55+E61</f>
        <v>182262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6186649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1549306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7735955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368556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189270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17491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5969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575317</v>
      </c>
      <c r="D77" s="130">
        <f>SUM(D71:D76)</f>
        <v>5969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8311272</v>
      </c>
      <c r="D80" s="130">
        <f>SUM(D78:D79)+D77+D69</f>
        <v>5969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140715</v>
      </c>
      <c r="D87" s="95">
        <f>SUM('DOE25'!G152:G160)</f>
        <v>311845</v>
      </c>
      <c r="E87" s="95">
        <f>SUM('DOE25'!H152:H160)</f>
        <v>1274370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140715</v>
      </c>
      <c r="D90" s="131">
        <f>SUM(D84:D89)</f>
        <v>311845</v>
      </c>
      <c r="E90" s="131">
        <f>SUM(E84:E89)</f>
        <v>1274370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78894</v>
      </c>
      <c r="E95" s="95">
        <f>'DOE25'!H178</f>
        <v>0</v>
      </c>
      <c r="F95" s="95">
        <f>'DOE25'!I178</f>
        <v>0</v>
      </c>
      <c r="G95" s="95">
        <f>'DOE25'!J178</f>
        <v>100000</v>
      </c>
    </row>
    <row r="96" spans="1:9" x14ac:dyDescent="0.2">
      <c r="A96" t="s">
        <v>758</v>
      </c>
      <c r="B96" s="32" t="s">
        <v>188</v>
      </c>
      <c r="C96" s="95">
        <f>SUM('DOE25'!F179:F180)</f>
        <v>1333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1333</v>
      </c>
      <c r="D102" s="86">
        <f>SUM(D92:D101)</f>
        <v>78894</v>
      </c>
      <c r="E102" s="86">
        <f>SUM(E92:E101)</f>
        <v>0</v>
      </c>
      <c r="F102" s="86">
        <f>SUM(F92:F101)</f>
        <v>0</v>
      </c>
      <c r="G102" s="86">
        <f>SUM(G92:G101)</f>
        <v>100000</v>
      </c>
    </row>
    <row r="103" spans="1:7" ht="12.75" thickTop="1" thickBot="1" x14ac:dyDescent="0.25">
      <c r="A103" s="33" t="s">
        <v>765</v>
      </c>
      <c r="C103" s="86">
        <f>C62+C80+C90+C102</f>
        <v>20176791</v>
      </c>
      <c r="D103" s="86">
        <f>D62+D80+D90+D102</f>
        <v>609027</v>
      </c>
      <c r="E103" s="86">
        <f>E62+E80+E90+E102</f>
        <v>1456632</v>
      </c>
      <c r="F103" s="86">
        <f>F62+F80+F90+F102</f>
        <v>0</v>
      </c>
      <c r="G103" s="86">
        <f>G62+G80+G102</f>
        <v>100000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7798187</v>
      </c>
      <c r="D108" s="24" t="s">
        <v>289</v>
      </c>
      <c r="E108" s="95">
        <f>('DOE25'!L275)+('DOE25'!L294)+('DOE25'!L313)</f>
        <v>1455981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3921077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48343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183559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11951166</v>
      </c>
      <c r="D114" s="86">
        <f>SUM(D108:D113)</f>
        <v>0</v>
      </c>
      <c r="E114" s="86">
        <f>SUM(E108:E113)</f>
        <v>1455981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1444713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952908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1105495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965011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7930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1934425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791277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608716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7201759</v>
      </c>
      <c r="D127" s="86">
        <f>SUM(D117:D126)</f>
        <v>608716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740000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330443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78894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100000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1249337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20402262</v>
      </c>
      <c r="D144" s="86">
        <f>(D114+D127+D143)</f>
        <v>608716</v>
      </c>
      <c r="E144" s="86">
        <f>(E114+E127+E143)</f>
        <v>1455981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07/02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07/24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14750000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8830000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8830000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740000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740000</v>
      </c>
    </row>
    <row r="158" spans="1:9" x14ac:dyDescent="0.2">
      <c r="A158" s="22" t="s">
        <v>35</v>
      </c>
      <c r="B158" s="137">
        <f>'DOE25'!F497</f>
        <v>8090000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8090000</v>
      </c>
    </row>
    <row r="159" spans="1:9" x14ac:dyDescent="0.2">
      <c r="A159" s="22" t="s">
        <v>36</v>
      </c>
      <c r="B159" s="137">
        <f>'DOE25'!F498</f>
        <v>1509161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1509161</v>
      </c>
    </row>
    <row r="160" spans="1:9" x14ac:dyDescent="0.2">
      <c r="A160" s="22" t="s">
        <v>37</v>
      </c>
      <c r="B160" s="137">
        <f>'DOE25'!F499</f>
        <v>9599161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9599161</v>
      </c>
    </row>
    <row r="161" spans="1:7" x14ac:dyDescent="0.2">
      <c r="A161" s="22" t="s">
        <v>38</v>
      </c>
      <c r="B161" s="137">
        <f>'DOE25'!F500</f>
        <v>735000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735000</v>
      </c>
    </row>
    <row r="162" spans="1:7" x14ac:dyDescent="0.2">
      <c r="A162" s="22" t="s">
        <v>39</v>
      </c>
      <c r="B162" s="137">
        <f>'DOE25'!F501</f>
        <v>312500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312500</v>
      </c>
    </row>
    <row r="163" spans="1:7" x14ac:dyDescent="0.2">
      <c r="A163" s="22" t="s">
        <v>246</v>
      </c>
      <c r="B163" s="137">
        <f>'DOE25'!F502</f>
        <v>1047500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1047500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HILLSBORO-DEERING COOPERATIVE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15538</v>
      </c>
    </row>
    <row r="5" spans="1:4" x14ac:dyDescent="0.2">
      <c r="B5" t="s">
        <v>704</v>
      </c>
      <c r="C5" s="179">
        <f>IF('DOE25'!G664+'DOE25'!G669=0,0,ROUND('DOE25'!G671,0))</f>
        <v>15613</v>
      </c>
    </row>
    <row r="6" spans="1:4" x14ac:dyDescent="0.2">
      <c r="B6" t="s">
        <v>62</v>
      </c>
      <c r="C6" s="179">
        <f>IF('DOE25'!H664+'DOE25'!H669=0,0,ROUND('DOE25'!H671,0))</f>
        <v>16719</v>
      </c>
    </row>
    <row r="7" spans="1:4" x14ac:dyDescent="0.2">
      <c r="B7" t="s">
        <v>705</v>
      </c>
      <c r="C7" s="179">
        <f>IF('DOE25'!I664+'DOE25'!I669=0,0,ROUND('DOE25'!I671,0))</f>
        <v>15933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9254168</v>
      </c>
      <c r="D10" s="182">
        <f>ROUND((C10/$C$28)*100,1)</f>
        <v>43.4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3921077</v>
      </c>
      <c r="D11" s="182">
        <f>ROUND((C11/$C$28)*100,1)</f>
        <v>18.399999999999999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48343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183559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1444713</v>
      </c>
      <c r="D15" s="182">
        <f t="shared" ref="D15:D27" si="0">ROUND((C15/$C$28)*100,1)</f>
        <v>6.8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952908</v>
      </c>
      <c r="D16" s="182">
        <f t="shared" si="0"/>
        <v>4.5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1105495</v>
      </c>
      <c r="D17" s="182">
        <f t="shared" si="0"/>
        <v>5.2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965011</v>
      </c>
      <c r="D18" s="182">
        <f t="shared" si="0"/>
        <v>4.5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7930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1934425</v>
      </c>
      <c r="D20" s="182">
        <f t="shared" si="0"/>
        <v>9.1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791277</v>
      </c>
      <c r="D21" s="182">
        <f t="shared" si="0"/>
        <v>3.7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330443</v>
      </c>
      <c r="D25" s="182">
        <f t="shared" si="0"/>
        <v>1.5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396397</v>
      </c>
      <c r="D27" s="182">
        <f t="shared" si="0"/>
        <v>1.9</v>
      </c>
    </row>
    <row r="28" spans="1:4" x14ac:dyDescent="0.2">
      <c r="B28" s="187" t="s">
        <v>723</v>
      </c>
      <c r="C28" s="180">
        <f>SUM(C10:C27)</f>
        <v>21335746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21335746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740000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10161892</v>
      </c>
      <c r="D35" s="182">
        <f t="shared" ref="D35:D40" si="1">ROUND((C35/$C$41)*100,1)</f>
        <v>46.3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1743841</v>
      </c>
      <c r="D36" s="182">
        <f t="shared" si="1"/>
        <v>7.9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7735955</v>
      </c>
      <c r="D37" s="182">
        <f t="shared" si="1"/>
        <v>35.200000000000003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581286</v>
      </c>
      <c r="D38" s="182">
        <f t="shared" si="1"/>
        <v>2.6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1726930</v>
      </c>
      <c r="D39" s="182">
        <f t="shared" si="1"/>
        <v>7.9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21949904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HILLSBORO-DEERING COOPERATIVE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2013-10-01T12:45:14Z</cp:lastPrinted>
  <dcterms:created xsi:type="dcterms:W3CDTF">1997-12-04T19:04:30Z</dcterms:created>
  <dcterms:modified xsi:type="dcterms:W3CDTF">2013-12-05T18:46:00Z</dcterms:modified>
</cp:coreProperties>
</file>