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-15" yWindow="-15" windowWidth="13515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F661" i="1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E131" i="2" s="1"/>
  <c r="L254" i="1"/>
  <c r="C129" i="2" s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E55" i="2" s="1"/>
  <c r="I59" i="1"/>
  <c r="F55" i="2" s="1"/>
  <c r="F78" i="1"/>
  <c r="F93" i="1"/>
  <c r="C57" i="2" s="1"/>
  <c r="F110" i="1"/>
  <c r="G110" i="1"/>
  <c r="H78" i="1"/>
  <c r="E56" i="2" s="1"/>
  <c r="H93" i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D84" i="2" s="1"/>
  <c r="G161" i="1"/>
  <c r="H146" i="1"/>
  <c r="H161" i="1"/>
  <c r="I146" i="1"/>
  <c r="F84" i="2" s="1"/>
  <c r="I161" i="1"/>
  <c r="L249" i="1"/>
  <c r="C112" i="2" s="1"/>
  <c r="L331" i="1"/>
  <c r="E112" i="2" s="1"/>
  <c r="L253" i="1"/>
  <c r="L267" i="1"/>
  <c r="C141" i="2" s="1"/>
  <c r="L268" i="1"/>
  <c r="C142" i="2" s="1"/>
  <c r="L348" i="1"/>
  <c r="E141" i="2" s="1"/>
  <c r="L349" i="1"/>
  <c r="E142" i="2" s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G36" i="2" s="1"/>
  <c r="I458" i="1"/>
  <c r="J47" i="1" s="1"/>
  <c r="G46" i="2" s="1"/>
  <c r="C48" i="2"/>
  <c r="C56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D114" i="2"/>
  <c r="F114" i="2"/>
  <c r="G114" i="2"/>
  <c r="F127" i="2"/>
  <c r="G127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50" i="1"/>
  <c r="H50" i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F459" i="1"/>
  <c r="G459" i="1"/>
  <c r="H459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H636" i="1"/>
  <c r="H637" i="1"/>
  <c r="G642" i="1"/>
  <c r="G643" i="1"/>
  <c r="G648" i="1"/>
  <c r="G651" i="1"/>
  <c r="H651" i="1"/>
  <c r="G652" i="1"/>
  <c r="H652" i="1"/>
  <c r="G653" i="1"/>
  <c r="H653" i="1"/>
  <c r="H654" i="1"/>
  <c r="E121" i="2" l="1"/>
  <c r="E119" i="2"/>
  <c r="H660" i="1"/>
  <c r="C108" i="2"/>
  <c r="E120" i="2"/>
  <c r="G661" i="1"/>
  <c r="H168" i="1"/>
  <c r="E113" i="2"/>
  <c r="D18" i="13"/>
  <c r="C18" i="13" s="1"/>
  <c r="A31" i="12"/>
  <c r="C110" i="2"/>
  <c r="C119" i="2"/>
  <c r="C18" i="10"/>
  <c r="C120" i="2"/>
  <c r="F551" i="1"/>
  <c r="D12" i="13"/>
  <c r="C12" i="13" s="1"/>
  <c r="H139" i="1"/>
  <c r="E108" i="2"/>
  <c r="J551" i="1"/>
  <c r="G551" i="1"/>
  <c r="E118" i="2"/>
  <c r="A13" i="12"/>
  <c r="A40" i="12"/>
  <c r="J650" i="1"/>
  <c r="F660" i="1"/>
  <c r="G660" i="1"/>
  <c r="K604" i="1"/>
  <c r="G647" i="1" s="1"/>
  <c r="L569" i="1"/>
  <c r="E109" i="2"/>
  <c r="L392" i="1"/>
  <c r="C137" i="2" s="1"/>
  <c r="G460" i="1"/>
  <c r="H639" i="1" s="1"/>
  <c r="J639" i="1" s="1"/>
  <c r="G51" i="1"/>
  <c r="H617" i="1" s="1"/>
  <c r="J617" i="1" s="1"/>
  <c r="H460" i="1"/>
  <c r="H640" i="1" s="1"/>
  <c r="J640" i="1" s="1"/>
  <c r="F168" i="1"/>
  <c r="I570" i="1"/>
  <c r="G161" i="2"/>
  <c r="L269" i="1"/>
  <c r="J256" i="1"/>
  <c r="J270" i="1" s="1"/>
  <c r="E111" i="2"/>
  <c r="J654" i="1"/>
  <c r="G61" i="2"/>
  <c r="G62" i="2" s="1"/>
  <c r="F191" i="1"/>
  <c r="J570" i="1"/>
  <c r="G475" i="1"/>
  <c r="H622" i="1" s="1"/>
  <c r="K548" i="1"/>
  <c r="G544" i="1"/>
  <c r="J648" i="1"/>
  <c r="H544" i="1"/>
  <c r="H475" i="1"/>
  <c r="H623" i="1" s="1"/>
  <c r="H570" i="1"/>
  <c r="I475" i="1"/>
  <c r="H624" i="1" s="1"/>
  <c r="H407" i="1"/>
  <c r="H643" i="1" s="1"/>
  <c r="J643" i="1" s="1"/>
  <c r="K337" i="1"/>
  <c r="K351" i="1" s="1"/>
  <c r="F460" i="1"/>
  <c r="H638" i="1" s="1"/>
  <c r="J638" i="1" s="1"/>
  <c r="L432" i="1"/>
  <c r="E102" i="2"/>
  <c r="F90" i="2"/>
  <c r="J139" i="1"/>
  <c r="C61" i="2"/>
  <c r="C62" i="2" s="1"/>
  <c r="L400" i="1"/>
  <c r="C138" i="2" s="1"/>
  <c r="L350" i="1"/>
  <c r="L327" i="1"/>
  <c r="L289" i="1"/>
  <c r="I368" i="1"/>
  <c r="H633" i="1" s="1"/>
  <c r="J633" i="1" s="1"/>
  <c r="D19" i="13"/>
  <c r="C19" i="13" s="1"/>
  <c r="L246" i="1"/>
  <c r="C13" i="10"/>
  <c r="E16" i="13"/>
  <c r="C16" i="13" s="1"/>
  <c r="F49" i="2"/>
  <c r="F129" i="2"/>
  <c r="F143" i="2" s="1"/>
  <c r="F144" i="2" s="1"/>
  <c r="H646" i="1"/>
  <c r="H337" i="1"/>
  <c r="H351" i="1" s="1"/>
  <c r="H256" i="1"/>
  <c r="H270" i="1" s="1"/>
  <c r="G158" i="2"/>
  <c r="E18" i="2"/>
  <c r="L255" i="1"/>
  <c r="G159" i="2"/>
  <c r="F22" i="13"/>
  <c r="C22" i="13" s="1"/>
  <c r="L528" i="1"/>
  <c r="D80" i="2"/>
  <c r="E130" i="2"/>
  <c r="E143" i="2" s="1"/>
  <c r="G407" i="1"/>
  <c r="H644" i="1" s="1"/>
  <c r="I51" i="1"/>
  <c r="H619" i="1" s="1"/>
  <c r="J619" i="1" s="1"/>
  <c r="D49" i="2"/>
  <c r="G337" i="1"/>
  <c r="G351" i="1" s="1"/>
  <c r="E124" i="2"/>
  <c r="F407" i="1"/>
  <c r="H642" i="1" s="1"/>
  <c r="J642" i="1" s="1"/>
  <c r="I256" i="1"/>
  <c r="I270" i="1" s="1"/>
  <c r="H51" i="1"/>
  <c r="H618" i="1" s="1"/>
  <c r="J618" i="1" s="1"/>
  <c r="C69" i="2"/>
  <c r="F31" i="2"/>
  <c r="E31" i="2"/>
  <c r="K549" i="1"/>
  <c r="C35" i="10"/>
  <c r="C84" i="2"/>
  <c r="C90" i="2" s="1"/>
  <c r="F77" i="2"/>
  <c r="F80" i="2" s="1"/>
  <c r="C31" i="2"/>
  <c r="E8" i="13"/>
  <c r="C8" i="13" s="1"/>
  <c r="G191" i="1"/>
  <c r="G160" i="2"/>
  <c r="H191" i="1"/>
  <c r="G102" i="2"/>
  <c r="F18" i="2"/>
  <c r="D18" i="2"/>
  <c r="L564" i="1"/>
  <c r="E110" i="2"/>
  <c r="F570" i="1"/>
  <c r="G163" i="2"/>
  <c r="G155" i="2"/>
  <c r="E49" i="2"/>
  <c r="D31" i="2"/>
  <c r="I551" i="1"/>
  <c r="C17" i="10"/>
  <c r="C29" i="10"/>
  <c r="C122" i="2"/>
  <c r="D15" i="13"/>
  <c r="C15" i="13" s="1"/>
  <c r="K597" i="1"/>
  <c r="G646" i="1" s="1"/>
  <c r="L426" i="1"/>
  <c r="E61" i="2"/>
  <c r="E62" i="2" s="1"/>
  <c r="F111" i="1"/>
  <c r="E117" i="2"/>
  <c r="C15" i="10"/>
  <c r="C12" i="10"/>
  <c r="D5" i="13"/>
  <c r="C5" i="13" s="1"/>
  <c r="E13" i="13"/>
  <c r="C13" i="13" s="1"/>
  <c r="K570" i="1"/>
  <c r="H661" i="1"/>
  <c r="C26" i="10"/>
  <c r="F256" i="1"/>
  <c r="F270" i="1" s="1"/>
  <c r="G157" i="2"/>
  <c r="C102" i="2"/>
  <c r="D90" i="2"/>
  <c r="C113" i="2"/>
  <c r="C20" i="10"/>
  <c r="K256" i="1"/>
  <c r="K270" i="1" s="1"/>
  <c r="F102" i="2"/>
  <c r="K544" i="1"/>
  <c r="G80" i="2"/>
  <c r="C16" i="10"/>
  <c r="L559" i="1"/>
  <c r="J544" i="1"/>
  <c r="I407" i="1"/>
  <c r="E77" i="2"/>
  <c r="E80" i="2" s="1"/>
  <c r="L210" i="1"/>
  <c r="C109" i="2"/>
  <c r="H551" i="1"/>
  <c r="F475" i="1"/>
  <c r="H621" i="1" s="1"/>
  <c r="L418" i="1"/>
  <c r="E122" i="2"/>
  <c r="G622" i="1"/>
  <c r="I544" i="1"/>
  <c r="C77" i="2"/>
  <c r="F61" i="2"/>
  <c r="F62" i="2" s="1"/>
  <c r="L228" i="1"/>
  <c r="J475" i="1"/>
  <c r="H625" i="1" s="1"/>
  <c r="J337" i="1"/>
  <c r="J351" i="1" s="1"/>
  <c r="F337" i="1"/>
  <c r="F351" i="1" s="1"/>
  <c r="G256" i="1"/>
  <c r="G270" i="1" s="1"/>
  <c r="G162" i="2"/>
  <c r="G156" i="2"/>
  <c r="D126" i="2"/>
  <c r="D127" i="2" s="1"/>
  <c r="D144" i="2" s="1"/>
  <c r="D61" i="2"/>
  <c r="D62" i="2" s="1"/>
  <c r="C25" i="10"/>
  <c r="C49" i="2"/>
  <c r="F51" i="1"/>
  <c r="H616" i="1" s="1"/>
  <c r="J616" i="1" s="1"/>
  <c r="C18" i="2"/>
  <c r="D7" i="13"/>
  <c r="C7" i="13" s="1"/>
  <c r="G621" i="1"/>
  <c r="L523" i="1"/>
  <c r="C123" i="2"/>
  <c r="E123" i="2"/>
  <c r="C32" i="10"/>
  <c r="C19" i="10"/>
  <c r="C10" i="10"/>
  <c r="G111" i="1"/>
  <c r="K499" i="1"/>
  <c r="I451" i="1"/>
  <c r="C124" i="2"/>
  <c r="C111" i="2"/>
  <c r="L308" i="1"/>
  <c r="H111" i="1"/>
  <c r="L613" i="1"/>
  <c r="L543" i="1"/>
  <c r="K550" i="1"/>
  <c r="C11" i="10"/>
  <c r="G624" i="1"/>
  <c r="D17" i="13"/>
  <c r="C17" i="13" s="1"/>
  <c r="H25" i="13"/>
  <c r="D14" i="13"/>
  <c r="C14" i="13" s="1"/>
  <c r="K502" i="1"/>
  <c r="L336" i="1"/>
  <c r="G649" i="1"/>
  <c r="J649" i="1" s="1"/>
  <c r="G623" i="1"/>
  <c r="D29" i="13"/>
  <c r="C29" i="13" s="1"/>
  <c r="C21" i="10"/>
  <c r="C121" i="2"/>
  <c r="C117" i="2"/>
  <c r="I168" i="1"/>
  <c r="D6" i="13"/>
  <c r="C6" i="13" s="1"/>
  <c r="G644" i="1"/>
  <c r="L538" i="1"/>
  <c r="L381" i="1"/>
  <c r="G635" i="1" s="1"/>
  <c r="J635" i="1" s="1"/>
  <c r="C23" i="10"/>
  <c r="L533" i="1"/>
  <c r="I459" i="1"/>
  <c r="I445" i="1"/>
  <c r="G641" i="1" s="1"/>
  <c r="C118" i="2"/>
  <c r="J111" i="1"/>
  <c r="L361" i="1"/>
  <c r="G634" i="1" s="1"/>
  <c r="J634" i="1" s="1"/>
  <c r="C24" i="10"/>
  <c r="G31" i="13"/>
  <c r="G33" i="13" s="1"/>
  <c r="I337" i="1"/>
  <c r="I351" i="1" s="1"/>
  <c r="L406" i="1"/>
  <c r="C139" i="2" s="1"/>
  <c r="I191" i="1"/>
  <c r="E90" i="2"/>
  <c r="J653" i="1"/>
  <c r="J652" i="1"/>
  <c r="G21" i="2"/>
  <c r="G31" i="2" s="1"/>
  <c r="J32" i="1"/>
  <c r="J433" i="1"/>
  <c r="F433" i="1"/>
  <c r="K433" i="1"/>
  <c r="G133" i="2" s="1"/>
  <c r="G143" i="2" s="1"/>
  <c r="G144" i="2" s="1"/>
  <c r="F31" i="13"/>
  <c r="G168" i="1"/>
  <c r="G139" i="1"/>
  <c r="F139" i="1"/>
  <c r="G42" i="2"/>
  <c r="G49" i="2" s="1"/>
  <c r="J50" i="1"/>
  <c r="G16" i="2"/>
  <c r="G18" i="2" s="1"/>
  <c r="J19" i="1"/>
  <c r="G620" i="1" s="1"/>
  <c r="F544" i="1"/>
  <c r="H433" i="1"/>
  <c r="D102" i="2"/>
  <c r="I139" i="1"/>
  <c r="A22" i="12"/>
  <c r="J651" i="1"/>
  <c r="G570" i="1"/>
  <c r="I433" i="1"/>
  <c r="G433" i="1"/>
  <c r="I662" i="1"/>
  <c r="J192" i="1" l="1"/>
  <c r="G645" i="1" s="1"/>
  <c r="J644" i="1"/>
  <c r="F50" i="2"/>
  <c r="J623" i="1"/>
  <c r="J624" i="1"/>
  <c r="C50" i="2"/>
  <c r="G659" i="1"/>
  <c r="G663" i="1" s="1"/>
  <c r="G671" i="1" s="1"/>
  <c r="C5" i="10" s="1"/>
  <c r="F659" i="1"/>
  <c r="F663" i="1" s="1"/>
  <c r="F671" i="1" s="1"/>
  <c r="C4" i="10" s="1"/>
  <c r="E114" i="2"/>
  <c r="D50" i="2"/>
  <c r="I660" i="1"/>
  <c r="J622" i="1"/>
  <c r="F103" i="2"/>
  <c r="I192" i="1"/>
  <c r="G629" i="1" s="1"/>
  <c r="J629" i="1" s="1"/>
  <c r="L570" i="1"/>
  <c r="F192" i="1"/>
  <c r="G626" i="1" s="1"/>
  <c r="J626" i="1" s="1"/>
  <c r="C80" i="2"/>
  <c r="C103" i="2" s="1"/>
  <c r="H659" i="1"/>
  <c r="L433" i="1"/>
  <c r="G637" i="1" s="1"/>
  <c r="J637" i="1" s="1"/>
  <c r="C140" i="2"/>
  <c r="C143" i="2" s="1"/>
  <c r="C36" i="10"/>
  <c r="E50" i="2"/>
  <c r="H647" i="1"/>
  <c r="J647" i="1" s="1"/>
  <c r="E103" i="2"/>
  <c r="J646" i="1"/>
  <c r="I661" i="1"/>
  <c r="L256" i="1"/>
  <c r="L270" i="1" s="1"/>
  <c r="G631" i="1" s="1"/>
  <c r="J631" i="1" s="1"/>
  <c r="K551" i="1"/>
  <c r="L407" i="1"/>
  <c r="G636" i="1" s="1"/>
  <c r="J636" i="1" s="1"/>
  <c r="L337" i="1"/>
  <c r="L351" i="1" s="1"/>
  <c r="G632" i="1" s="1"/>
  <c r="J632" i="1" s="1"/>
  <c r="H192" i="1"/>
  <c r="G628" i="1" s="1"/>
  <c r="J628" i="1" s="1"/>
  <c r="E33" i="13"/>
  <c r="D35" i="13" s="1"/>
  <c r="J621" i="1"/>
  <c r="G103" i="2"/>
  <c r="D31" i="13"/>
  <c r="C31" i="13" s="1"/>
  <c r="I460" i="1"/>
  <c r="H641" i="1" s="1"/>
  <c r="J641" i="1" s="1"/>
  <c r="D103" i="2"/>
  <c r="C114" i="2"/>
  <c r="E127" i="2"/>
  <c r="L544" i="1"/>
  <c r="C25" i="13"/>
  <c r="H33" i="13"/>
  <c r="F33" i="13"/>
  <c r="C127" i="2"/>
  <c r="C27" i="10"/>
  <c r="C28" i="10" s="1"/>
  <c r="D19" i="10" s="1"/>
  <c r="G50" i="2"/>
  <c r="C39" i="10"/>
  <c r="G192" i="1"/>
  <c r="G627" i="1" s="1"/>
  <c r="J627" i="1" s="1"/>
  <c r="G625" i="1"/>
  <c r="J625" i="1" s="1"/>
  <c r="J51" i="1"/>
  <c r="H620" i="1" s="1"/>
  <c r="J620" i="1" s="1"/>
  <c r="C38" i="10"/>
  <c r="G630" i="1" l="1"/>
  <c r="J630" i="1" s="1"/>
  <c r="E144" i="2"/>
  <c r="I659" i="1"/>
  <c r="I663" i="1" s="1"/>
  <c r="I671" i="1" s="1"/>
  <c r="C7" i="10" s="1"/>
  <c r="H663" i="1"/>
  <c r="G666" i="1"/>
  <c r="F666" i="1"/>
  <c r="C144" i="2"/>
  <c r="D26" i="10"/>
  <c r="D33" i="13"/>
  <c r="D36" i="13" s="1"/>
  <c r="H645" i="1"/>
  <c r="J645" i="1" s="1"/>
  <c r="D16" i="10"/>
  <c r="D18" i="10"/>
  <c r="D12" i="10"/>
  <c r="D13" i="10"/>
  <c r="D21" i="10"/>
  <c r="D20" i="10"/>
  <c r="D25" i="10"/>
  <c r="D10" i="10"/>
  <c r="C30" i="10"/>
  <c r="D23" i="10"/>
  <c r="D27" i="10"/>
  <c r="D17" i="10"/>
  <c r="D24" i="10"/>
  <c r="D11" i="10"/>
  <c r="D22" i="10"/>
  <c r="D15" i="10"/>
  <c r="C41" i="10"/>
  <c r="D38" i="10" s="1"/>
  <c r="H666" i="1" l="1"/>
  <c r="H671" i="1"/>
  <c r="C6" i="10" s="1"/>
  <c r="D28" i="10"/>
  <c r="I666" i="1"/>
  <c r="H655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<sst xmlns="http://schemas.openxmlformats.org/spreadsheetml/2006/main" count="3948" uniqueCount="914">
  <si>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</si>
  <si>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</si>
  <si>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</si>
  <si>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</si>
  <si>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</si>
  <si>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</si>
  <si>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</si>
  <si>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</si>
  <si>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</si>
  <si>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</si>
  <si>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</si>
  <si>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</si>
  <si>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</si>
  <si>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</si>
  <si>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</si>
  <si>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</si>
  <si>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</si>
  <si>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</si>
  <si>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</si>
  <si>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</si>
  <si>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</si>
  <si>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</si>
  <si>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</si>
  <si>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</si>
  <si>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</si>
  <si>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</si>
  <si>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</si>
  <si>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</si>
  <si>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</si>
  <si>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</si>
  <si>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</si>
  <si>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</si>
  <si>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</si>
  <si>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</si>
  <si>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</si>
  <si>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</si>
  <si>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</si>
  <si>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</si>
  <si>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</si>
  <si>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</si>
  <si>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</si>
  <si>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</si>
  <si>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</si>
  <si>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</si>
  <si>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</si>
  <si>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</si>
  <si>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</si>
  <si>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</si>
  <si>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</si>
  <si>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</si>
  <si>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</si>
  <si>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</si>
  <si>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</si>
  <si>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</si>
  <si>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</si>
  <si>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</si>
  <si>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</si>
  <si>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</si>
  <si>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</si>
  <si>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</si>
  <si>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</si>
  <si>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</si>
  <si>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</si>
  <si>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</si>
  <si>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</si>
  <si>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</si>
  <si>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</si>
  <si>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</si>
  <si>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</si>
  <si>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</si>
  <si>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</si>
  <si>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</si>
  <si>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</si>
  <si>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</si>
  <si>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</si>
  <si>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</si>
  <si>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</si>
  <si>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</si>
  <si>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</si>
  <si>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</si>
  <si>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</si>
  <si>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</si>
  <si>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</si>
  <si>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</si>
  <si>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</si>
  <si>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</si>
  <si>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</si>
  <si>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</si>
  <si>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</si>
  <si>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</si>
  <si>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</si>
  <si>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</si>
  <si>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</si>
  <si>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</si>
  <si>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</si>
  <si>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</si>
  <si>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</si>
  <si>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</si>
  <si>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</si>
  <si>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</si>
  <si>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</si>
  <si>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</si>
  <si>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</si>
  <si>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</si>
  <si>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</si>
  <si>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</si>
  <si>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</si>
  <si>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</si>
  <si>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</si>
  <si>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</si>
  <si>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</si>
  <si>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</si>
  <si>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</si>
  <si>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</si>
  <si>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</si>
  <si>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</si>
  <si>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</si>
  <si>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</si>
  <si>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</si>
  <si>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</si>
  <si>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</si>
  <si>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</si>
  <si>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</si>
  <si>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</si>
  <si>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</si>
  <si>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</si>
  <si>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</si>
  <si>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</si>
  <si>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</si>
  <si>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</si>
  <si>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</si>
  <si>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</si>
  <si>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</si>
  <si>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</si>
  <si>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</si>
  <si>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</si>
  <si>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</si>
  <si>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</si>
  <si>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</si>
  <si>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</si>
  <si>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</si>
  <si>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</si>
  <si>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</si>
  <si>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</si>
  <si>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</si>
  <si>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</si>
  <si>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</si>
  <si>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</si>
  <si>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</si>
  <si>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</si>
  <si>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</si>
  <si>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</si>
  <si>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</si>
  <si>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</si>
  <si>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</si>
  <si>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</si>
  <si>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</si>
  <si>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</si>
  <si>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</si>
  <si>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</si>
  <si>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</si>
  <si>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</si>
  <si>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</si>
  <si>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</si>
  <si>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</si>
  <si>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</si>
  <si>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</si>
  <si>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</si>
  <si>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</si>
  <si>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</si>
  <si>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</si>
  <si>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</si>
  <si>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</si>
  <si>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</si>
  <si>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</si>
  <si>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</si>
  <si>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</si>
  <si>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</si>
  <si>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</si>
  <si>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</si>
  <si>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</si>
  <si>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</si>
  <si>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</si>
  <si>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</si>
  <si>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</si>
  <si>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</si>
  <si>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</si>
  <si>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</si>
  <si>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</si>
  <si>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</si>
  <si>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</si>
  <si>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</si>
  <si>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</si>
  <si>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</si>
  <si>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</si>
  <si>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</si>
  <si>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</si>
  <si>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</si>
  <si>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</si>
  <si>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</si>
  <si>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</si>
  <si>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</si>
  <si>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</si>
  <si>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</si>
  <si>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</si>
  <si>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</si>
  <si>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</si>
  <si>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</si>
  <si>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</si>
  <si>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</si>
  <si>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</si>
  <si>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</si>
  <si>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</si>
  <si>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</si>
  <si>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</si>
  <si>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</si>
  <si>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</si>
  <si>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</si>
  <si>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</si>
  <si>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</si>
  <si>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</si>
  <si>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</si>
  <si>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</si>
  <si>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</si>
  <si>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</si>
  <si>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</si>
  <si>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</si>
  <si>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</si>
  <si>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</si>
  <si>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</si>
  <si>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</si>
  <si>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</si>
  <si>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</si>
  <si>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</si>
  <si>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</si>
  <si>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</si>
  <si>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</si>
  <si>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</si>
  <si>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</si>
  <si>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</si>
  <si>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</si>
  <si>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</si>
  <si>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</si>
  <si>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</si>
  <si>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</si>
  <si>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</si>
  <si>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</si>
  <si>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</si>
  <si>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</si>
  <si>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</si>
  <si>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</si>
  <si>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</si>
  <si>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</si>
  <si>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</si>
  <si>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</si>
  <si>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</si>
  <si>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</si>
  <si>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</si>
  <si>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</si>
  <si>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</si>
  <si>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</si>
  <si>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</si>
  <si>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</si>
  <si>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</si>
  <si>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</si>
  <si>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</si>
  <si>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</si>
  <si>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</si>
  <si>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</si>
  <si>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</si>
  <si>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</si>
  <si>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</si>
  <si>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</si>
  <si>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</si>
  <si>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</si>
  <si>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</si>
  <si>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</si>
  <si>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</si>
  <si>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</si>
  <si>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</si>
  <si>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</si>
  <si>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</si>
  <si>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</si>
  <si>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</si>
  <si>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</si>
  <si>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</si>
  <si>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</si>
  <si>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</si>
  <si>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</si>
  <si>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</si>
  <si>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</si>
  <si>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</si>
  <si>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</si>
  <si>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</si>
  <si>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</si>
  <si>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</si>
  <si>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</si>
  <si>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</si>
  <si>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</si>
  <si>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</si>
  <si>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</si>
  <si>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</si>
  <si>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</si>
  <si>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</si>
  <si>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</si>
  <si>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</si>
  <si>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</si>
  <si>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</si>
  <si>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</si>
  <si>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</si>
  <si>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</si>
  <si>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</si>
  <si>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</si>
  <si>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</si>
  <si>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</si>
  <si>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</si>
  <si>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</si>
  <si>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</si>
  <si>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</si>
  <si>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</si>
  <si>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</si>
  <si>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</si>
  <si>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</si>
  <si>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</si>
  <si>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</si>
  <si>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</si>
  <si>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</si>
  <si>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</si>
  <si>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</si>
  <si>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</si>
  <si>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</si>
  <si>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</si>
  <si>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</si>
  <si>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</si>
  <si>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</si>
  <si>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</si>
  <si>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</si>
  <si>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</si>
  <si>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</si>
  <si>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</si>
  <si>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</si>
  <si>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</si>
  <si>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</si>
  <si>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</si>
  <si>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</si>
  <si>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</si>
  <si>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</si>
  <si>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</si>
  <si>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</si>
  <si>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</si>
  <si>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</si>
  <si>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</si>
  <si>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</si>
  <si>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</si>
  <si>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</si>
  <si>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</si>
  <si>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</si>
  <si>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</si>
  <si>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</si>
  <si>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</si>
  <si>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</si>
  <si>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</si>
  <si>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</si>
  <si>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</si>
  <si>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</si>
  <si>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</si>
  <si>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</si>
  <si>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</si>
  <si>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</si>
  <si>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</si>
  <si>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</si>
  <si>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</si>
  <si>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</si>
  <si>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</si>
  <si>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</si>
  <si>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</si>
  <si>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</si>
  <si>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</si>
  <si>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</si>
  <si>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</si>
  <si>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</si>
  <si>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</si>
  <si>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</si>
  <si>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</si>
  <si>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</si>
  <si>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</si>
  <si>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</si>
  <si>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</si>
  <si>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</si>
  <si>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</si>
  <si>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</si>
  <si>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</si>
  <si>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</si>
  <si>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</si>
  <si>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</si>
  <si>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</si>
  <si>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</si>
  <si>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</si>
  <si>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</si>
  <si>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</si>
  <si>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</si>
  <si>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</si>
  <si>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</si>
  <si>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</si>
  <si>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</si>
  <si>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</si>
  <si>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</si>
  <si>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</si>
  <si>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</si>
  <si>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</si>
  <si>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</si>
  <si>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</si>
  <si>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</si>
  <si>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</si>
  <si>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</si>
  <si>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</si>
  <si>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</si>
  <si>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</si>
  <si>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</si>
  <si>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</si>
  <si>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</si>
  <si>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</si>
  <si>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</si>
  <si>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</si>
  <si>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</si>
  <si>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</si>
  <si>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</si>
  <si>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</si>
  <si>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</si>
  <si>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</si>
  <si>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</si>
  <si>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</si>
  <si>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</si>
  <si>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</si>
  <si>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</si>
  <si>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</si>
  <si>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</si>
  <si>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</si>
  <si>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</si>
  <si>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</si>
  <si>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</si>
  <si>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</si>
  <si>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</si>
  <si>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</si>
  <si>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</si>
  <si>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</si>
  <si>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</si>
  <si>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</si>
  <si>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</si>
  <si>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</si>
  <si>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</si>
  <si>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</si>
  <si>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</si>
  <si>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</si>
  <si>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</si>
  <si>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</si>
  <si>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</si>
  <si>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</si>
  <si>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</si>
  <si>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</si>
  <si>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</si>
  <si>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</si>
  <si>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</si>
  <si>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</si>
  <si>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</si>
  <si>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</si>
  <si>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</si>
  <si>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</si>
  <si>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</si>
  <si>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</si>
  <si>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</si>
  <si>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</si>
  <si>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</si>
  <si>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</si>
  <si>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</si>
  <si>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</si>
  <si>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</si>
  <si>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</si>
  <si>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</si>
  <si>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</si>
  <si>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</si>
  <si>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</si>
  <si>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</si>
  <si>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</si>
  <si>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</si>
  <si>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</si>
  <si>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</si>
  <si>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</si>
  <si>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</si>
  <si>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</si>
  <si>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</si>
  <si>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</si>
  <si>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</si>
  <si>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</si>
  <si>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</si>
  <si>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</si>
  <si>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</si>
  <si>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</si>
  <si>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</si>
  <si>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</si>
  <si>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</si>
  <si>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</si>
  <si>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</si>
  <si>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</si>
  <si>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</si>
  <si>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</si>
  <si>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</si>
  <si>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</si>
  <si>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</si>
  <si>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</si>
  <si>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</si>
  <si>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</si>
  <si>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</si>
  <si>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</si>
  <si>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</si>
  <si>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</si>
  <si>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</si>
  <si>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</si>
  <si>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</si>
  <si>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</si>
  <si>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</si>
  <si>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</si>
  <si>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</si>
  <si>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</si>
  <si>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</si>
  <si>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</si>
  <si>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</si>
  <si>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</si>
  <si>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</si>
  <si>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</si>
  <si>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</si>
  <si>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</si>
  <si>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</si>
  <si>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</si>
  <si>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</si>
  <si>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</si>
  <si>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</si>
  <si>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</si>
  <si>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</si>
  <si>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</si>
  <si>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</si>
  <si>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</si>
  <si>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</si>
  <si>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</si>
  <si>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</si>
  <si>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</si>
  <si>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</si>
  <si>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</si>
  <si>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</si>
  <si>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</si>
  <si>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</si>
  <si>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</si>
  <si>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</si>
  <si>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</si>
  <si>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</si>
  <si>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</si>
  <si>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</si>
  <si>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</si>
  <si>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</si>
  <si>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</si>
  <si>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</si>
  <si>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</si>
  <si>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</si>
  <si>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</si>
  <si>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</si>
  <si>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</si>
  <si>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</si>
  <si>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</si>
  <si>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</si>
  <si>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</si>
  <si>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</si>
  <si>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</si>
  <si>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</si>
  <si>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</si>
  <si>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</si>
  <si>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</si>
  <si>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</si>
  <si>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</si>
  <si>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</si>
  <si>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</si>
  <si>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</si>
  <si>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</si>
  <si>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</si>
  <si>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</si>
  <si>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</si>
  <si>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</si>
  <si>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</si>
  <si>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</si>
  <si>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</si>
  <si>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</si>
  <si>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</si>
  <si>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</si>
  <si>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</si>
  <si>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</si>
  <si>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</si>
  <si>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</si>
  <si>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</si>
  <si>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</si>
  <si>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</si>
  <si>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</si>
  <si>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</si>
  <si>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</si>
  <si>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</si>
  <si>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</si>
  <si>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</si>
  <si>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</si>
  <si>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</si>
  <si>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</si>
  <si>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</si>
  <si>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</si>
  <si>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</si>
  <si>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</si>
  <si>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</si>
  <si>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</si>
  <si>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</si>
  <si>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</si>
  <si>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</si>
  <si>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</si>
  <si>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</si>
  <si>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</si>
  <si>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</si>
  <si>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</si>
  <si>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</si>
  <si>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</si>
  <si>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</si>
  <si>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</si>
  <si>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</si>
  <si>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</si>
  <si>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</si>
  <si>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</si>
  <si>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</si>
  <si>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</si>
  <si>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</si>
  <si>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</si>
  <si>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</si>
  <si>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</si>
  <si>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</si>
  <si>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</si>
  <si>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</si>
  <si>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</si>
  <si>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</si>
  <si>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</si>
  <si>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</si>
  <si>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</si>
  <si>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</si>
  <si>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</si>
  <si>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</si>
  <si>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</si>
  <si>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</si>
  <si>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</si>
  <si>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</si>
  <si>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</si>
  <si>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</si>
  <si>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</si>
  <si>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</si>
  <si>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</si>
  <si>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</si>
  <si>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</si>
  <si>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</si>
  <si>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</si>
  <si>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</si>
  <si>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</si>
  <si>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</si>
  <si>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</si>
  <si>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</si>
  <si>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</si>
  <si>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</si>
  <si>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</si>
  <si>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</si>
  <si>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</si>
  <si>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</si>
  <si>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</si>
  <si>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</si>
  <si>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</si>
  <si>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</si>
  <si>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</si>
  <si>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</si>
  <si>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</si>
  <si>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</si>
  <si>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</si>
  <si>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</si>
  <si>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</si>
  <si>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</si>
  <si>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</si>
  <si>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</si>
  <si>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</si>
  <si>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</si>
  <si>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</si>
  <si>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</si>
  <si>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</si>
  <si>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</si>
  <si>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</si>
  <si>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</si>
  <si>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</si>
  <si>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</si>
  <si>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</si>
  <si>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</si>
  <si>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</si>
  <si>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</si>
  <si>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</si>
  <si>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</si>
  <si>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</si>
  <si>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</si>
  <si>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</si>
  <si>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</si>
  <si>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</si>
  <si>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</si>
  <si>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</si>
  <si>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</si>
  <si>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</si>
  <si>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</si>
  <si>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</si>
  <si>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</si>
  <si>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</si>
  <si>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</si>
  <si>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</si>
  <si>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</si>
  <si>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</si>
  <si>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</si>
  <si>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</si>
  <si>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</si>
  <si>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</si>
  <si>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</si>
  <si>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</si>
  <si>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</si>
  <si>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</si>
  <si>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</si>
  <si>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</si>
  <si>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</si>
  <si>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</si>
  <si>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</si>
  <si>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</si>
  <si>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</si>
  <si>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</si>
  <si>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</si>
  <si>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</si>
  <si>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</si>
  <si>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</si>
  <si>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</si>
  <si>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</si>
  <si>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</si>
  <si>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</si>
  <si>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</si>
  <si>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</si>
  <si>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</si>
  <si>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</si>
  <si>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</si>
  <si>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</si>
  <si>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</si>
  <si>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</si>
  <si>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</si>
  <si>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</si>
  <si>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</si>
  <si>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</si>
  <si>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</si>
  <si>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</si>
  <si>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</si>
  <si>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</si>
  <si>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</si>
  <si>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</si>
  <si>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</si>
  <si>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</si>
  <si>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</si>
  <si>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</si>
  <si>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</si>
  <si>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</si>
  <si>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</si>
  <si>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</si>
  <si>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</si>
  <si>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</si>
  <si>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</si>
  <si>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</si>
  <si>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</si>
  <si>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</si>
  <si>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</si>
  <si>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</si>
  <si>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</si>
  <si>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</si>
  <si>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</si>
  <si>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</si>
  <si>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</si>
  <si>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</si>
  <si>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</si>
  <si>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</si>
  <si>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</si>
  <si>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</si>
  <si>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</si>
  <si>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</si>
  <si>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</si>
  <si>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</si>
  <si>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</si>
  <si>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</si>
  <si>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</si>
  <si>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</si>
  <si>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</si>
  <si>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</si>
  <si>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</si>
  <si>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</si>
  <si>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</si>
  <si>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</si>
  <si>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</si>
  <si>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</si>
  <si>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</si>
  <si>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</si>
  <si>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</si>
  <si>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</si>
  <si>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</si>
  <si>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</si>
  <si>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</si>
  <si>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</si>
  <si>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</si>
  <si>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</si>
  <si>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</si>
  <si>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</si>
  <si>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</si>
  <si>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</si>
  <si>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</si>
  <si>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</si>
  <si>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</si>
  <si>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</si>
  <si>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</si>
  <si>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</si>
  <si>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</si>
  <si>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</si>
  <si>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</si>
  <si>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</si>
  <si>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</si>
  <si>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</si>
  <si>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</si>
  <si>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</si>
  <si>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</si>
  <si>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</si>
  <si>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</si>
  <si>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</si>
  <si>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</si>
  <si>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</si>
  <si>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</si>
  <si>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</si>
  <si>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</si>
  <si>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</si>
  <si>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</si>
  <si>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</si>
  <si>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</si>
  <si>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</si>
  <si>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</si>
  <si>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</si>
  <si>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</si>
  <si>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</si>
  <si>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</si>
  <si>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</si>
  <si>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</si>
  <si>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</si>
  <si>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</si>
  <si>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</si>
  <si>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</si>
  <si>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</si>
  <si>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</si>
  <si>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</si>
  <si>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</si>
  <si>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</si>
  <si>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</si>
  <si>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</si>
  <si>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</si>
  <si>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</si>
  <si>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</si>
  <si>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</si>
  <si>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</si>
  <si>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</si>
  <si>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</si>
  <si>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</si>
  <si>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</si>
  <si>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</si>
  <si>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</si>
  <si>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</si>
  <si>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</si>
  <si>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</si>
  <si>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</si>
  <si>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</si>
  <si>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</si>
  <si>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</si>
  <si>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</si>
  <si>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</si>
  <si>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</si>
  <si>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</si>
  <si>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</si>
  <si>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</si>
  <si>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</si>
  <si>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</si>
  <si>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</si>
  <si>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</si>
  <si>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</si>
  <si>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</si>
  <si>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</si>
  <si>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</si>
  <si>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</si>
  <si>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</si>
  <si>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</si>
  <si>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</si>
  <si>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</si>
  <si>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</si>
  <si>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</si>
  <si>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</si>
  <si>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</si>
  <si>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</si>
  <si>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</si>
  <si>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</si>
  <si>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</si>
  <si>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</si>
  <si>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</si>
  <si>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HINSDALE SCHOOL DISTRICT</t>
  </si>
  <si>
    <t>prior year audit adjustments</t>
  </si>
  <si>
    <t>08/05</t>
  </si>
  <si>
    <t>08/25</t>
  </si>
  <si>
    <t>deferred revenue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</si>
</sst>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255</v>
      </c>
      <c r="C2" s="21">
        <v>255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1157385.3899999999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145328.5</v>
      </c>
      <c r="G12" s="18">
        <v>32785.269999999997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19069.37</v>
      </c>
      <c r="G13" s="18">
        <v>30609.77</v>
      </c>
      <c r="H13" s="18">
        <v>155082.87</v>
      </c>
      <c r="I13" s="18"/>
      <c r="J13" s="67">
        <f>SUM(I441)</f>
        <v>449497.67000000004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641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886.43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1321783.26</v>
      </c>
      <c r="G19" s="41">
        <f>SUM(G9:G18)</f>
        <v>64922.469999999994</v>
      </c>
      <c r="H19" s="41">
        <f>SUM(H9:H18)</f>
        <v>155082.87</v>
      </c>
      <c r="I19" s="41">
        <f>SUM(I9:I18)</f>
        <v>0</v>
      </c>
      <c r="J19" s="41">
        <f>SUM(J9:J18)</f>
        <v>449497.67000000004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153885.07999999999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92676.85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171291.38</v>
      </c>
      <c r="G24" s="18">
        <v>51432.39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529246.12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1197.79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793214.35</v>
      </c>
      <c r="G32" s="41">
        <f>SUM(G22:G31)</f>
        <v>51432.39</v>
      </c>
      <c r="H32" s="41">
        <f>SUM(H22:H31)</f>
        <v>155082.87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13490.08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449497.67000000004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120943.17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307625.74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528568.90999999992</v>
      </c>
      <c r="G50" s="41">
        <f>SUM(G35:G49)</f>
        <v>13490.08</v>
      </c>
      <c r="H50" s="41">
        <f>SUM(H35:H49)</f>
        <v>0</v>
      </c>
      <c r="I50" s="41">
        <f>SUM(I35:I49)</f>
        <v>0</v>
      </c>
      <c r="J50" s="41">
        <f>SUM(J35:J49)</f>
        <v>449497.67000000004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1321783.2599999998</v>
      </c>
      <c r="G51" s="41">
        <f>G50+G32</f>
        <v>64922.47</v>
      </c>
      <c r="H51" s="41">
        <f>H50+H32</f>
        <v>155082.87</v>
      </c>
      <c r="I51" s="41">
        <f>I50+I32</f>
        <v>0</v>
      </c>
      <c r="J51" s="41">
        <f>J50+J32</f>
        <v>449497.67000000004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4810396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4810396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8440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13250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74209.84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v>9834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95899.839999999997</v>
      </c>
      <c r="G78" s="45" t="s">
        <v>289</v>
      </c>
      <c r="H78" s="41">
        <f>SUM(H62:H77)</f>
        <v>9834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/>
      <c r="H95" s="18"/>
      <c r="I95" s="18"/>
      <c r="J95" s="18">
        <v>11991.34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116199.38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12960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28830.02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89616.42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118446.44</v>
      </c>
      <c r="G110" s="41">
        <f>SUM(G95:G109)</f>
        <v>116199.38</v>
      </c>
      <c r="H110" s="41">
        <f>SUM(H95:H109)</f>
        <v>12960</v>
      </c>
      <c r="I110" s="41">
        <f>SUM(I95:I109)</f>
        <v>0</v>
      </c>
      <c r="J110" s="41">
        <f>SUM(J95:J109)</f>
        <v>11991.34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5024742.28</v>
      </c>
      <c r="G111" s="41">
        <f>G59+G110</f>
        <v>116199.38</v>
      </c>
      <c r="H111" s="41">
        <f>H59+H78+H93+H110</f>
        <v>22794</v>
      </c>
      <c r="I111" s="41">
        <f>I59+I110</f>
        <v>0</v>
      </c>
      <c r="J111" s="41">
        <f>J59+J110</f>
        <v>11991.34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4645701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561497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5207198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462802.59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175502.73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31983.42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1647.03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13735.56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671935.77000000014</v>
      </c>
      <c r="G135" s="41">
        <f>SUM(G122:G134)</f>
        <v>13735.56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5879133.7700000005</v>
      </c>
      <c r="G139" s="41">
        <f>G120+SUM(G135:G136)</f>
        <v>13735.56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115813.58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267062.78000000003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185331.07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160121.72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125256.42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153215.32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0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153215.32</v>
      </c>
      <c r="G161" s="41">
        <f>SUM(G149:G160)</f>
        <v>160121.72</v>
      </c>
      <c r="H161" s="41">
        <f>SUM(H149:H160)</f>
        <v>693463.85000000009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153215.32</v>
      </c>
      <c r="G168" s="41">
        <f>G146+G161+SUM(G162:G167)</f>
        <v>160121.72</v>
      </c>
      <c r="H168" s="41">
        <f>H146+H161+SUM(H162:H167)</f>
        <v>693463.85000000009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11057091.370000001</v>
      </c>
      <c r="G192" s="47">
        <f>G111+G139+G168+G191</f>
        <v>290056.66000000003</v>
      </c>
      <c r="H192" s="47">
        <f>H111+H139+H168+H191</f>
        <v>716257.85000000009</v>
      </c>
      <c r="I192" s="47">
        <f>I111+I139+I168+I191</f>
        <v>0</v>
      </c>
      <c r="J192" s="47">
        <f>J111+J139+J191</f>
        <v>61991.34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873931.05</v>
      </c>
      <c r="G196" s="18">
        <v>431772.31</v>
      </c>
      <c r="H196" s="18">
        <v>3226.5</v>
      </c>
      <c r="I196" s="18">
        <v>62190.16</v>
      </c>
      <c r="J196" s="18"/>
      <c r="K196" s="18"/>
      <c r="L196" s="19">
        <f>SUM(F196:K196)</f>
        <v>1371120.02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551323.93999999994</v>
      </c>
      <c r="G197" s="18">
        <v>118516.93</v>
      </c>
      <c r="H197" s="18">
        <v>73076.600000000006</v>
      </c>
      <c r="I197" s="18">
        <v>5533.48</v>
      </c>
      <c r="J197" s="18"/>
      <c r="K197" s="18"/>
      <c r="L197" s="19">
        <f>SUM(F197:K197)</f>
        <v>748450.94999999984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13666.41</v>
      </c>
      <c r="G199" s="18">
        <v>1712.58</v>
      </c>
      <c r="H199" s="18"/>
      <c r="I199" s="18"/>
      <c r="J199" s="18"/>
      <c r="K199" s="18"/>
      <c r="L199" s="19">
        <f>SUM(F199:K199)</f>
        <v>15378.99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227428.14</v>
      </c>
      <c r="G201" s="18">
        <v>104690.8</v>
      </c>
      <c r="H201" s="18">
        <v>21384.41</v>
      </c>
      <c r="I201" s="18">
        <v>12543.51</v>
      </c>
      <c r="J201" s="18"/>
      <c r="K201" s="18">
        <v>760.14</v>
      </c>
      <c r="L201" s="19">
        <f t="shared" ref="L201:L207" si="0">SUM(F201:K201)</f>
        <v>366807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25136.81</v>
      </c>
      <c r="G202" s="18">
        <v>2377.66</v>
      </c>
      <c r="H202" s="18">
        <v>15331.98</v>
      </c>
      <c r="I202" s="18">
        <v>3240.75</v>
      </c>
      <c r="J202" s="18"/>
      <c r="K202" s="18">
        <v>141.94</v>
      </c>
      <c r="L202" s="19">
        <f t="shared" si="0"/>
        <v>46229.14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158151.31</v>
      </c>
      <c r="G203" s="18">
        <v>89020.35</v>
      </c>
      <c r="H203" s="18">
        <v>19871.23</v>
      </c>
      <c r="I203" s="18">
        <v>14456.79</v>
      </c>
      <c r="J203" s="18">
        <v>1065.8599999999999</v>
      </c>
      <c r="K203" s="18">
        <v>4111.63</v>
      </c>
      <c r="L203" s="19">
        <f t="shared" si="0"/>
        <v>286677.17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207822.57</v>
      </c>
      <c r="G204" s="18">
        <v>103254.27</v>
      </c>
      <c r="H204" s="18">
        <v>3823.26</v>
      </c>
      <c r="I204" s="18">
        <v>4909.4399999999996</v>
      </c>
      <c r="J204" s="18"/>
      <c r="K204" s="18">
        <v>285</v>
      </c>
      <c r="L204" s="19">
        <f t="shared" si="0"/>
        <v>320094.54000000004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121713.13</v>
      </c>
      <c r="G206" s="18">
        <v>70058.720000000001</v>
      </c>
      <c r="H206" s="18">
        <v>91872.37</v>
      </c>
      <c r="I206" s="18">
        <v>185360.54</v>
      </c>
      <c r="J206" s="18">
        <v>21056.47</v>
      </c>
      <c r="K206" s="18"/>
      <c r="L206" s="19">
        <f t="shared" si="0"/>
        <v>490061.23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141766.25</v>
      </c>
      <c r="I207" s="18"/>
      <c r="J207" s="18"/>
      <c r="K207" s="18"/>
      <c r="L207" s="19">
        <f t="shared" si="0"/>
        <v>141766.25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564</v>
      </c>
      <c r="G208" s="18">
        <v>105.56</v>
      </c>
      <c r="H208" s="18">
        <v>32956.33</v>
      </c>
      <c r="I208" s="18">
        <v>12413.16</v>
      </c>
      <c r="J208" s="18">
        <v>65021.24</v>
      </c>
      <c r="K208" s="18">
        <v>46.53</v>
      </c>
      <c r="L208" s="19">
        <f>SUM(F208:K208)</f>
        <v>111106.82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2179737.3600000003</v>
      </c>
      <c r="G210" s="41">
        <f t="shared" si="1"/>
        <v>921509.18</v>
      </c>
      <c r="H210" s="41">
        <f t="shared" si="1"/>
        <v>403308.93</v>
      </c>
      <c r="I210" s="41">
        <f t="shared" si="1"/>
        <v>300647.83</v>
      </c>
      <c r="J210" s="41">
        <f t="shared" si="1"/>
        <v>87143.57</v>
      </c>
      <c r="K210" s="41">
        <f t="shared" si="1"/>
        <v>5345.24</v>
      </c>
      <c r="L210" s="41">
        <f t="shared" si="1"/>
        <v>3897692.11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509592.13</v>
      </c>
      <c r="G214" s="18">
        <v>261851.12</v>
      </c>
      <c r="H214" s="18">
        <v>6240</v>
      </c>
      <c r="I214" s="18">
        <v>29440.86</v>
      </c>
      <c r="J214" s="18">
        <v>1269.3399999999999</v>
      </c>
      <c r="K214" s="18">
        <v>0</v>
      </c>
      <c r="L214" s="19">
        <f>SUM(F214:K214)</f>
        <v>808393.45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175748.79</v>
      </c>
      <c r="G215" s="18">
        <v>53714.07</v>
      </c>
      <c r="H215" s="18">
        <v>286405.48</v>
      </c>
      <c r="I215" s="18">
        <v>1771.35</v>
      </c>
      <c r="J215" s="18"/>
      <c r="K215" s="18"/>
      <c r="L215" s="19">
        <f>SUM(F215:K215)</f>
        <v>517639.68999999994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33481.360000000001</v>
      </c>
      <c r="G217" s="18">
        <v>4649.3999999999996</v>
      </c>
      <c r="H217" s="18">
        <v>9249.4699999999993</v>
      </c>
      <c r="I217" s="18">
        <v>10216.9</v>
      </c>
      <c r="J217" s="18">
        <v>3613.76</v>
      </c>
      <c r="K217" s="18">
        <v>1339.29</v>
      </c>
      <c r="L217" s="19">
        <f>SUM(F217:K217)</f>
        <v>62550.180000000008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121397.14</v>
      </c>
      <c r="G219" s="18">
        <v>60160.81</v>
      </c>
      <c r="H219" s="18">
        <v>10009.73</v>
      </c>
      <c r="I219" s="18">
        <v>2759.25</v>
      </c>
      <c r="J219" s="18"/>
      <c r="K219" s="18">
        <v>200.52</v>
      </c>
      <c r="L219" s="19">
        <f t="shared" ref="L219:L225" si="2">SUM(F219:K219)</f>
        <v>194527.45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16393.599999999999</v>
      </c>
      <c r="G220" s="18">
        <v>4386.22</v>
      </c>
      <c r="H220" s="18">
        <v>7176.67</v>
      </c>
      <c r="I220" s="18">
        <v>5842.36</v>
      </c>
      <c r="J220" s="18"/>
      <c r="K220" s="18">
        <v>66.44</v>
      </c>
      <c r="L220" s="19">
        <f t="shared" si="2"/>
        <v>33865.29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74028.27</v>
      </c>
      <c r="G221" s="18">
        <v>41669.1</v>
      </c>
      <c r="H221" s="18">
        <v>9301.43</v>
      </c>
      <c r="I221" s="18">
        <v>6767.01</v>
      </c>
      <c r="J221" s="18">
        <v>498.91</v>
      </c>
      <c r="K221" s="18">
        <v>1924.59</v>
      </c>
      <c r="L221" s="19">
        <f t="shared" si="2"/>
        <v>134189.31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131099.91</v>
      </c>
      <c r="G222" s="18">
        <v>49377.66</v>
      </c>
      <c r="H222" s="18">
        <v>6710.26</v>
      </c>
      <c r="I222" s="18">
        <v>1146.6400000000001</v>
      </c>
      <c r="J222" s="18"/>
      <c r="K222" s="18">
        <v>1803.8</v>
      </c>
      <c r="L222" s="19">
        <f t="shared" si="2"/>
        <v>190138.27000000002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56972.1</v>
      </c>
      <c r="G224" s="18">
        <v>32793.440000000002</v>
      </c>
      <c r="H224" s="18">
        <v>43004.09</v>
      </c>
      <c r="I224" s="18">
        <v>86764.51</v>
      </c>
      <c r="J224" s="18">
        <v>9856.2199999999993</v>
      </c>
      <c r="K224" s="18"/>
      <c r="L224" s="19">
        <f t="shared" si="2"/>
        <v>229390.36000000002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85204.59</v>
      </c>
      <c r="I225" s="18"/>
      <c r="J225" s="18"/>
      <c r="K225" s="18"/>
      <c r="L225" s="19">
        <f t="shared" si="2"/>
        <v>85204.59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264</v>
      </c>
      <c r="G226" s="18">
        <v>49.41</v>
      </c>
      <c r="H226" s="18">
        <v>15426.37</v>
      </c>
      <c r="I226" s="18">
        <v>5810.42</v>
      </c>
      <c r="J226" s="18">
        <v>30435.48</v>
      </c>
      <c r="K226" s="18">
        <v>21.78</v>
      </c>
      <c r="L226" s="19">
        <f>SUM(F226:K226)</f>
        <v>52007.46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1118977.3</v>
      </c>
      <c r="G228" s="41">
        <f>SUM(G214:G227)</f>
        <v>508651.23</v>
      </c>
      <c r="H228" s="41">
        <f>SUM(H214:H227)</f>
        <v>478728.08999999985</v>
      </c>
      <c r="I228" s="41">
        <f>SUM(I214:I227)</f>
        <v>150519.30000000002</v>
      </c>
      <c r="J228" s="41">
        <f>SUM(J214:J227)</f>
        <v>45673.71</v>
      </c>
      <c r="K228" s="41">
        <f t="shared" si="3"/>
        <v>5356.42</v>
      </c>
      <c r="L228" s="41">
        <f t="shared" si="3"/>
        <v>2307906.0499999998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768438.19</v>
      </c>
      <c r="G232" s="18">
        <v>393489.32</v>
      </c>
      <c r="H232" s="18">
        <v>9944.5300000000007</v>
      </c>
      <c r="I232" s="18">
        <v>74606.2</v>
      </c>
      <c r="J232" s="18">
        <v>1904</v>
      </c>
      <c r="K232" s="18">
        <v>2546</v>
      </c>
      <c r="L232" s="19">
        <f>SUM(F232:K232)</f>
        <v>1250928.24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263623.19</v>
      </c>
      <c r="G233" s="18">
        <v>80571.11</v>
      </c>
      <c r="H233" s="18">
        <v>288327.61</v>
      </c>
      <c r="I233" s="18">
        <v>3848.65</v>
      </c>
      <c r="J233" s="18"/>
      <c r="K233" s="18"/>
      <c r="L233" s="19">
        <f>SUM(F233:K233)</f>
        <v>636370.55999999994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10180</v>
      </c>
      <c r="G234" s="18">
        <v>778.82</v>
      </c>
      <c r="H234" s="18">
        <v>3130.97</v>
      </c>
      <c r="I234" s="18">
        <v>147.86000000000001</v>
      </c>
      <c r="J234" s="18"/>
      <c r="K234" s="18"/>
      <c r="L234" s="19">
        <f>SUM(F234:K234)</f>
        <v>14237.65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50222.04</v>
      </c>
      <c r="G235" s="18">
        <v>6974.1</v>
      </c>
      <c r="H235" s="18">
        <v>13874.2</v>
      </c>
      <c r="I235" s="18">
        <v>15325.35</v>
      </c>
      <c r="J235" s="18">
        <v>5420.65</v>
      </c>
      <c r="K235" s="18">
        <v>2008.94</v>
      </c>
      <c r="L235" s="19">
        <f>SUM(F235:K235)</f>
        <v>93825.279999999999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177558.19</v>
      </c>
      <c r="G237" s="18">
        <v>88240.06</v>
      </c>
      <c r="H237" s="18">
        <v>14104.61</v>
      </c>
      <c r="I237" s="18">
        <v>4138.88</v>
      </c>
      <c r="J237" s="18"/>
      <c r="K237" s="18">
        <v>285.45999999999998</v>
      </c>
      <c r="L237" s="19">
        <f t="shared" ref="L237:L243" si="4">SUM(F237:K237)</f>
        <v>284327.2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24396.400000000001</v>
      </c>
      <c r="G238" s="18">
        <v>6545.13</v>
      </c>
      <c r="H238" s="18">
        <v>10112.58</v>
      </c>
      <c r="I238" s="18">
        <v>8718.08</v>
      </c>
      <c r="J238" s="18"/>
      <c r="K238" s="18">
        <v>93.62</v>
      </c>
      <c r="L238" s="19">
        <f t="shared" si="4"/>
        <v>49865.810000000005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104312.57</v>
      </c>
      <c r="G239" s="18">
        <v>58715.55</v>
      </c>
      <c r="H239" s="18">
        <v>13106.56</v>
      </c>
      <c r="I239" s="18">
        <v>9535.33</v>
      </c>
      <c r="J239" s="18">
        <v>703.02</v>
      </c>
      <c r="K239" s="18">
        <v>2711.92</v>
      </c>
      <c r="L239" s="19">
        <f t="shared" si="4"/>
        <v>189084.94999999998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196649.87</v>
      </c>
      <c r="G240" s="18">
        <v>74066.5</v>
      </c>
      <c r="H240" s="18">
        <v>10065.4</v>
      </c>
      <c r="I240" s="18">
        <v>1719.97</v>
      </c>
      <c r="J240" s="18"/>
      <c r="K240" s="18">
        <v>2705.7</v>
      </c>
      <c r="L240" s="19">
        <f t="shared" si="4"/>
        <v>285207.44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80278.87</v>
      </c>
      <c r="G242" s="18">
        <v>46208.94</v>
      </c>
      <c r="H242" s="18">
        <v>60596.67</v>
      </c>
      <c r="I242" s="18">
        <v>122259.08</v>
      </c>
      <c r="J242" s="18">
        <v>13888.31</v>
      </c>
      <c r="K242" s="18"/>
      <c r="L242" s="19">
        <f t="shared" si="4"/>
        <v>323231.87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1208.5</v>
      </c>
      <c r="G243" s="18">
        <v>92.46</v>
      </c>
      <c r="H243" s="18">
        <v>121943.64</v>
      </c>
      <c r="I243" s="18"/>
      <c r="J243" s="18">
        <v>19902.150000000001</v>
      </c>
      <c r="K243" s="18"/>
      <c r="L243" s="19">
        <f t="shared" si="4"/>
        <v>143146.75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372</v>
      </c>
      <c r="G244" s="18">
        <v>69.62</v>
      </c>
      <c r="H244" s="18">
        <v>21737.16</v>
      </c>
      <c r="I244" s="18">
        <v>8187.4</v>
      </c>
      <c r="J244" s="18">
        <v>42886.35</v>
      </c>
      <c r="K244" s="18">
        <v>30.69</v>
      </c>
      <c r="L244" s="19">
        <f>SUM(F244:K244)</f>
        <v>73283.22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1677239.8199999998</v>
      </c>
      <c r="G246" s="41">
        <f t="shared" si="5"/>
        <v>755751.61</v>
      </c>
      <c r="H246" s="41">
        <f t="shared" si="5"/>
        <v>566943.93000000005</v>
      </c>
      <c r="I246" s="41">
        <f t="shared" si="5"/>
        <v>248486.80000000002</v>
      </c>
      <c r="J246" s="41">
        <f t="shared" si="5"/>
        <v>84704.48000000001</v>
      </c>
      <c r="K246" s="41">
        <f t="shared" si="5"/>
        <v>10382.33</v>
      </c>
      <c r="L246" s="41">
        <f t="shared" si="5"/>
        <v>3343508.97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4975954.4800000004</v>
      </c>
      <c r="G256" s="41">
        <f t="shared" si="8"/>
        <v>2185912.02</v>
      </c>
      <c r="H256" s="41">
        <f t="shared" si="8"/>
        <v>1448980.9499999997</v>
      </c>
      <c r="I256" s="41">
        <f t="shared" si="8"/>
        <v>699653.93</v>
      </c>
      <c r="J256" s="41">
        <f t="shared" si="8"/>
        <v>217521.76</v>
      </c>
      <c r="K256" s="41">
        <f t="shared" si="8"/>
        <v>21083.989999999998</v>
      </c>
      <c r="L256" s="41">
        <f t="shared" si="8"/>
        <v>9549107.1300000008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655000</v>
      </c>
      <c r="L259" s="19">
        <f>SUM(F259:K259)</f>
        <v>655000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395098.5</v>
      </c>
      <c r="L260" s="19">
        <f>SUM(F260:K260)</f>
        <v>395098.5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1100098.5</v>
      </c>
      <c r="L269" s="41">
        <f t="shared" si="9"/>
        <v>1100098.5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4975954.4800000004</v>
      </c>
      <c r="G270" s="42">
        <f t="shared" si="11"/>
        <v>2185912.02</v>
      </c>
      <c r="H270" s="42">
        <f t="shared" si="11"/>
        <v>1448980.9499999997</v>
      </c>
      <c r="I270" s="42">
        <f t="shared" si="11"/>
        <v>699653.93</v>
      </c>
      <c r="J270" s="42">
        <f t="shared" si="11"/>
        <v>217521.76</v>
      </c>
      <c r="K270" s="42">
        <f t="shared" si="11"/>
        <v>1121182.49</v>
      </c>
      <c r="L270" s="42">
        <f t="shared" si="11"/>
        <v>10649205.630000001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174115.35</v>
      </c>
      <c r="G275" s="18">
        <v>39632.370000000003</v>
      </c>
      <c r="H275" s="18">
        <v>54288.92</v>
      </c>
      <c r="I275" s="18">
        <v>25565.38</v>
      </c>
      <c r="J275" s="18">
        <v>0</v>
      </c>
      <c r="K275" s="18">
        <v>5292.68</v>
      </c>
      <c r="L275" s="19">
        <f>SUM(F275:K275)</f>
        <v>298894.7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34136.74</v>
      </c>
      <c r="G276" s="18">
        <v>24094.31</v>
      </c>
      <c r="H276" s="18">
        <v>1883.53</v>
      </c>
      <c r="I276" s="18">
        <v>3289.07</v>
      </c>
      <c r="J276" s="18">
        <v>0</v>
      </c>
      <c r="K276" s="18"/>
      <c r="L276" s="19">
        <f>SUM(F276:K276)</f>
        <v>63403.65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7000</v>
      </c>
      <c r="I280" s="18"/>
      <c r="J280" s="18"/>
      <c r="K280" s="18"/>
      <c r="L280" s="19">
        <f t="shared" ref="L280:L286" si="12">SUM(F280:K280)</f>
        <v>7000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1854.33</v>
      </c>
      <c r="I286" s="18"/>
      <c r="J286" s="18"/>
      <c r="K286" s="18"/>
      <c r="L286" s="19">
        <f t="shared" si="12"/>
        <v>1854.33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208252.09</v>
      </c>
      <c r="G289" s="42">
        <f t="shared" si="13"/>
        <v>63726.680000000008</v>
      </c>
      <c r="H289" s="42">
        <f t="shared" si="13"/>
        <v>65026.78</v>
      </c>
      <c r="I289" s="42">
        <f t="shared" si="13"/>
        <v>28854.45</v>
      </c>
      <c r="J289" s="42">
        <f t="shared" si="13"/>
        <v>0</v>
      </c>
      <c r="K289" s="42">
        <f t="shared" si="13"/>
        <v>5292.68</v>
      </c>
      <c r="L289" s="41">
        <f t="shared" si="13"/>
        <v>371152.68000000005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81500.81</v>
      </c>
      <c r="G294" s="18">
        <v>18551.32</v>
      </c>
      <c r="H294" s="18">
        <v>25411.84</v>
      </c>
      <c r="I294" s="18">
        <v>11966.77</v>
      </c>
      <c r="J294" s="18">
        <v>0</v>
      </c>
      <c r="K294" s="18">
        <v>2477.42</v>
      </c>
      <c r="L294" s="19">
        <f>SUM(F294:K294)</f>
        <v>139908.16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15978.9</v>
      </c>
      <c r="G295" s="18">
        <v>11278.19</v>
      </c>
      <c r="H295" s="18">
        <v>881.65</v>
      </c>
      <c r="I295" s="18">
        <v>1539.56</v>
      </c>
      <c r="J295" s="18">
        <v>0</v>
      </c>
      <c r="K295" s="18"/>
      <c r="L295" s="19">
        <f>SUM(F295:K295)</f>
        <v>29678.300000000003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3000</v>
      </c>
      <c r="I299" s="18"/>
      <c r="J299" s="18"/>
      <c r="K299" s="18"/>
      <c r="L299" s="19">
        <f t="shared" ref="L299:L305" si="14">SUM(F299:K299)</f>
        <v>3000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618.11</v>
      </c>
      <c r="I305" s="18"/>
      <c r="J305" s="18"/>
      <c r="K305" s="18"/>
      <c r="L305" s="19">
        <f t="shared" si="14"/>
        <v>618.11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97479.709999999992</v>
      </c>
      <c r="G308" s="42">
        <f t="shared" si="15"/>
        <v>29829.510000000002</v>
      </c>
      <c r="H308" s="42">
        <f t="shared" si="15"/>
        <v>29911.600000000002</v>
      </c>
      <c r="I308" s="42">
        <f t="shared" si="15"/>
        <v>13506.33</v>
      </c>
      <c r="J308" s="42">
        <f t="shared" si="15"/>
        <v>0</v>
      </c>
      <c r="K308" s="42">
        <f t="shared" si="15"/>
        <v>2477.42</v>
      </c>
      <c r="L308" s="41">
        <f t="shared" si="15"/>
        <v>173204.57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114842.04</v>
      </c>
      <c r="G313" s="18">
        <v>26140.5</v>
      </c>
      <c r="H313" s="18">
        <v>35807.589999999997</v>
      </c>
      <c r="I313" s="18">
        <v>16862.27</v>
      </c>
      <c r="J313" s="18">
        <v>0</v>
      </c>
      <c r="K313" s="18">
        <v>3490.92</v>
      </c>
      <c r="L313" s="19">
        <f>SUM(F313:K313)</f>
        <v>197143.31999999998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22515.72</v>
      </c>
      <c r="G314" s="18">
        <v>15891.99</v>
      </c>
      <c r="H314" s="18">
        <v>1242.32</v>
      </c>
      <c r="I314" s="18">
        <v>2169.38</v>
      </c>
      <c r="J314" s="18">
        <v>0</v>
      </c>
      <c r="K314" s="18"/>
      <c r="L314" s="19">
        <f>SUM(F314:K314)</f>
        <v>41819.409999999996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137357.76000000001</v>
      </c>
      <c r="G327" s="42">
        <f t="shared" si="17"/>
        <v>42032.49</v>
      </c>
      <c r="H327" s="42">
        <f t="shared" si="17"/>
        <v>37049.909999999996</v>
      </c>
      <c r="I327" s="42">
        <f t="shared" si="17"/>
        <v>19031.650000000001</v>
      </c>
      <c r="J327" s="42">
        <f t="shared" si="17"/>
        <v>0</v>
      </c>
      <c r="K327" s="42">
        <f t="shared" si="17"/>
        <v>3490.92</v>
      </c>
      <c r="L327" s="41">
        <f t="shared" si="17"/>
        <v>238962.72999999998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443089.56</v>
      </c>
      <c r="G337" s="41">
        <f t="shared" si="20"/>
        <v>135588.68</v>
      </c>
      <c r="H337" s="41">
        <f t="shared" si="20"/>
        <v>131988.29</v>
      </c>
      <c r="I337" s="41">
        <f t="shared" si="20"/>
        <v>61392.43</v>
      </c>
      <c r="J337" s="41">
        <f t="shared" si="20"/>
        <v>0</v>
      </c>
      <c r="K337" s="41">
        <f t="shared" si="20"/>
        <v>11261.02</v>
      </c>
      <c r="L337" s="41">
        <f t="shared" si="20"/>
        <v>783319.98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7932.04</v>
      </c>
      <c r="L343" s="19">
        <f t="shared" ref="L343:L349" si="21">SUM(F343:K343)</f>
        <v>7932.04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7932.04</v>
      </c>
      <c r="L350" s="41">
        <f>SUM(L340:L349)</f>
        <v>7932.04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443089.56</v>
      </c>
      <c r="G351" s="41">
        <f>G337</f>
        <v>135588.68</v>
      </c>
      <c r="H351" s="41">
        <f>H337</f>
        <v>131988.29</v>
      </c>
      <c r="I351" s="41">
        <f>I337</f>
        <v>61392.43</v>
      </c>
      <c r="J351" s="41">
        <f>J337</f>
        <v>0</v>
      </c>
      <c r="K351" s="47">
        <f>K337+K350</f>
        <v>19193.060000000001</v>
      </c>
      <c r="L351" s="41">
        <f>L337+L350</f>
        <v>791252.02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129986.29</v>
      </c>
      <c r="I357" s="18"/>
      <c r="J357" s="18"/>
      <c r="K357" s="18"/>
      <c r="L357" s="13">
        <f>SUM(F357:K357)</f>
        <v>129986.29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60844.65</v>
      </c>
      <c r="I358" s="18"/>
      <c r="J358" s="18"/>
      <c r="K358" s="18"/>
      <c r="L358" s="19">
        <f>SUM(F358:K358)</f>
        <v>60844.65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85735.64</v>
      </c>
      <c r="I359" s="18"/>
      <c r="J359" s="18"/>
      <c r="K359" s="18"/>
      <c r="L359" s="19">
        <f>SUM(F359:K359)</f>
        <v>85735.64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276566.58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276566.58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4.3</v>
      </c>
      <c r="I388" s="18"/>
      <c r="J388" s="24" t="s">
        <v>289</v>
      </c>
      <c r="K388" s="24" t="s">
        <v>289</v>
      </c>
      <c r="L388" s="56">
        <f t="shared" si="25"/>
        <v>4.3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4.3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4.3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5802.48</v>
      </c>
      <c r="I395" s="18"/>
      <c r="J395" s="24" t="s">
        <v>289</v>
      </c>
      <c r="K395" s="24" t="s">
        <v>289</v>
      </c>
      <c r="L395" s="56">
        <f t="shared" si="26"/>
        <v>5802.48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6184.56</v>
      </c>
      <c r="I396" s="18"/>
      <c r="J396" s="24" t="s">
        <v>289</v>
      </c>
      <c r="K396" s="24" t="s">
        <v>289</v>
      </c>
      <c r="L396" s="56">
        <f t="shared" si="26"/>
        <v>56184.56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11987.04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61987.039999999994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11991.34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61991.34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32538.84</v>
      </c>
      <c r="G441" s="18">
        <v>416958.83</v>
      </c>
      <c r="H441" s="18"/>
      <c r="I441" s="56">
        <f t="shared" si="33"/>
        <v>449497.67000000004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32538.84</v>
      </c>
      <c r="G445" s="13">
        <f>SUM(G438:G444)</f>
        <v>416958.83</v>
      </c>
      <c r="H445" s="13">
        <f>SUM(H438:H444)</f>
        <v>0</v>
      </c>
      <c r="I445" s="13">
        <f>SUM(I438:I444)</f>
        <v>449497.67000000004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32538.84</v>
      </c>
      <c r="G458" s="18">
        <v>416958.83</v>
      </c>
      <c r="H458" s="18"/>
      <c r="I458" s="56">
        <f t="shared" si="34"/>
        <v>449497.67000000004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32538.84</v>
      </c>
      <c r="G459" s="83">
        <f>SUM(G453:G458)</f>
        <v>416958.83</v>
      </c>
      <c r="H459" s="83">
        <f>SUM(H453:H458)</f>
        <v>0</v>
      </c>
      <c r="I459" s="83">
        <f>SUM(I453:I458)</f>
        <v>449497.67000000004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32538.84</v>
      </c>
      <c r="G460" s="42">
        <f>G451+G459</f>
        <v>416958.83</v>
      </c>
      <c r="H460" s="42">
        <f>H451+H459</f>
        <v>0</v>
      </c>
      <c r="I460" s="42">
        <f>I451+I459</f>
        <v>449497.67000000004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149254.91</v>
      </c>
      <c r="G464" s="18">
        <v>0</v>
      </c>
      <c r="H464" s="18">
        <v>73022.460000000006</v>
      </c>
      <c r="I464" s="18">
        <v>0</v>
      </c>
      <c r="J464" s="18">
        <v>387506.33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11057091.369999999</v>
      </c>
      <c r="G467" s="18">
        <v>290056.65999999997</v>
      </c>
      <c r="H467" s="18">
        <v>716257.85</v>
      </c>
      <c r="I467" s="18"/>
      <c r="J467" s="18">
        <v>61991.34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>
        <v>1971.71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11057091.369999999</v>
      </c>
      <c r="G469" s="53">
        <f>SUM(G467:G468)</f>
        <v>290056.65999999997</v>
      </c>
      <c r="H469" s="53">
        <f>SUM(H467:H468)</f>
        <v>718229.55999999994</v>
      </c>
      <c r="I469" s="53">
        <f>SUM(I467:I468)</f>
        <v>0</v>
      </c>
      <c r="J469" s="53">
        <f>SUM(J467:J468)</f>
        <v>61991.34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10649205.630000001</v>
      </c>
      <c r="G471" s="18">
        <v>276566.58</v>
      </c>
      <c r="H471" s="18">
        <v>791252.02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28571.74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10677777.370000001</v>
      </c>
      <c r="G473" s="53">
        <f>SUM(G471:G472)</f>
        <v>276566.58</v>
      </c>
      <c r="H473" s="53">
        <f>SUM(H471:H472)</f>
        <v>791252.02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528568.90999999829</v>
      </c>
      <c r="G475" s="53">
        <f>(G464+G469)- G473</f>
        <v>13490.079999999958</v>
      </c>
      <c r="H475" s="53">
        <f>(H464+H469)- H473</f>
        <v>0</v>
      </c>
      <c r="I475" s="53">
        <f>(I464+I469)- I473</f>
        <v>0</v>
      </c>
      <c r="J475" s="53">
        <f>(J464+J469)- J473</f>
        <v>449497.67000000004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913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13032960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9105000</v>
      </c>
      <c r="G494" s="18"/>
      <c r="H494" s="18"/>
      <c r="I494" s="18"/>
      <c r="J494" s="18"/>
      <c r="K494" s="53">
        <f>SUM(F494:J494)</f>
        <v>9105000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655000</v>
      </c>
      <c r="G496" s="18"/>
      <c r="H496" s="18"/>
      <c r="I496" s="18"/>
      <c r="J496" s="18"/>
      <c r="K496" s="53">
        <f t="shared" si="35"/>
        <v>655000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8450000</v>
      </c>
      <c r="G497" s="204"/>
      <c r="H497" s="204"/>
      <c r="I497" s="204"/>
      <c r="J497" s="204"/>
      <c r="K497" s="205">
        <f t="shared" si="35"/>
        <v>8450000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2391948.75</v>
      </c>
      <c r="G498" s="18"/>
      <c r="H498" s="18"/>
      <c r="I498" s="18"/>
      <c r="J498" s="18"/>
      <c r="K498" s="53">
        <f t="shared" si="35"/>
        <v>2391948.75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10841948.75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10841948.75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650000</v>
      </c>
      <c r="G500" s="204"/>
      <c r="H500" s="204"/>
      <c r="I500" s="204"/>
      <c r="J500" s="204"/>
      <c r="K500" s="205">
        <f t="shared" si="35"/>
        <v>650000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362473.5</v>
      </c>
      <c r="G501" s="18"/>
      <c r="H501" s="18"/>
      <c r="I501" s="18"/>
      <c r="J501" s="18"/>
      <c r="K501" s="53">
        <f t="shared" si="35"/>
        <v>362473.5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1012473.5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1012473.5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499763.82</v>
      </c>
      <c r="G520" s="18">
        <v>142911.29999999999</v>
      </c>
      <c r="H520" s="18">
        <v>73076.600000000006</v>
      </c>
      <c r="I520" s="18">
        <v>8531.2000000000007</v>
      </c>
      <c r="J520" s="18"/>
      <c r="K520" s="18"/>
      <c r="L520" s="88">
        <f>SUM(F520:K520)</f>
        <v>724282.91999999993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233932</v>
      </c>
      <c r="G521" s="18">
        <v>66894.649999999994</v>
      </c>
      <c r="H521" s="18">
        <v>286405.46999999997</v>
      </c>
      <c r="I521" s="18">
        <v>3993.33</v>
      </c>
      <c r="J521" s="18"/>
      <c r="K521" s="18"/>
      <c r="L521" s="88">
        <f>SUM(F521:K521)</f>
        <v>591225.44999999995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329631.46000000002</v>
      </c>
      <c r="G522" s="18">
        <v>94260.64</v>
      </c>
      <c r="H522" s="18">
        <v>213675.66</v>
      </c>
      <c r="I522" s="18">
        <v>5626.96</v>
      </c>
      <c r="J522" s="18"/>
      <c r="K522" s="18"/>
      <c r="L522" s="88">
        <f>SUM(F522:K522)</f>
        <v>643194.72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1063327.28</v>
      </c>
      <c r="G523" s="108">
        <f t="shared" ref="G523:L523" si="36">SUM(G520:G522)</f>
        <v>304066.58999999997</v>
      </c>
      <c r="H523" s="108">
        <f t="shared" si="36"/>
        <v>573157.73</v>
      </c>
      <c r="I523" s="108">
        <f t="shared" si="36"/>
        <v>18151.490000000002</v>
      </c>
      <c r="J523" s="108">
        <f t="shared" si="36"/>
        <v>0</v>
      </c>
      <c r="K523" s="108">
        <f t="shared" si="36"/>
        <v>0</v>
      </c>
      <c r="L523" s="89">
        <f t="shared" si="36"/>
        <v>1958703.0899999999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106631.92</v>
      </c>
      <c r="G525" s="18">
        <v>47027.19</v>
      </c>
      <c r="H525" s="18">
        <v>54780.45</v>
      </c>
      <c r="I525" s="18"/>
      <c r="J525" s="18"/>
      <c r="K525" s="18">
        <v>360.02</v>
      </c>
      <c r="L525" s="88">
        <f>SUM(F525:K525)</f>
        <v>208799.58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49912.81</v>
      </c>
      <c r="G526" s="18">
        <v>22012.73</v>
      </c>
      <c r="H526" s="18">
        <v>25641.91</v>
      </c>
      <c r="I526" s="18"/>
      <c r="J526" s="18"/>
      <c r="K526" s="18">
        <v>168.52</v>
      </c>
      <c r="L526" s="88">
        <f>SUM(F526:K526)</f>
        <v>97735.97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70331.69</v>
      </c>
      <c r="G527" s="18">
        <v>31017.94</v>
      </c>
      <c r="H527" s="18">
        <v>36131.78</v>
      </c>
      <c r="I527" s="18"/>
      <c r="J527" s="18"/>
      <c r="K527" s="18">
        <v>237.46</v>
      </c>
      <c r="L527" s="88">
        <f>SUM(F527:K527)</f>
        <v>137718.87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226876.41999999998</v>
      </c>
      <c r="G528" s="89">
        <f t="shared" ref="G528:L528" si="37">SUM(G525:G527)</f>
        <v>100057.86</v>
      </c>
      <c r="H528" s="89">
        <f t="shared" si="37"/>
        <v>116554.14</v>
      </c>
      <c r="I528" s="89">
        <f t="shared" si="37"/>
        <v>0</v>
      </c>
      <c r="J528" s="89">
        <f t="shared" si="37"/>
        <v>0</v>
      </c>
      <c r="K528" s="89">
        <f t="shared" si="37"/>
        <v>766</v>
      </c>
      <c r="L528" s="89">
        <f t="shared" si="37"/>
        <v>444254.42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28379.61</v>
      </c>
      <c r="G530" s="18">
        <v>6998.78</v>
      </c>
      <c r="H530" s="18">
        <v>258.76</v>
      </c>
      <c r="I530" s="18">
        <v>1881.41</v>
      </c>
      <c r="J530" s="18"/>
      <c r="K530" s="18"/>
      <c r="L530" s="88">
        <f>SUM(F530:K530)</f>
        <v>37518.560000000005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13284.07</v>
      </c>
      <c r="G531" s="18">
        <v>3276.02</v>
      </c>
      <c r="H531" s="18">
        <v>121.13</v>
      </c>
      <c r="I531" s="18">
        <v>880.66</v>
      </c>
      <c r="J531" s="18"/>
      <c r="K531" s="18"/>
      <c r="L531" s="88">
        <f>SUM(F531:K531)</f>
        <v>17561.88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18718.47</v>
      </c>
      <c r="G532" s="18">
        <v>4616.22</v>
      </c>
      <c r="H532" s="18">
        <v>170.67</v>
      </c>
      <c r="I532" s="18">
        <v>1240.93</v>
      </c>
      <c r="J532" s="18"/>
      <c r="K532" s="18"/>
      <c r="L532" s="88">
        <f>SUM(F532:K532)</f>
        <v>24746.29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60382.15</v>
      </c>
      <c r="G533" s="89">
        <f t="shared" ref="G533:L533" si="38">SUM(G530:G532)</f>
        <v>14891.02</v>
      </c>
      <c r="H533" s="89">
        <f t="shared" si="38"/>
        <v>550.55999999999995</v>
      </c>
      <c r="I533" s="89">
        <f t="shared" si="38"/>
        <v>4003</v>
      </c>
      <c r="J533" s="89">
        <f t="shared" si="38"/>
        <v>0</v>
      </c>
      <c r="K533" s="89">
        <f t="shared" si="38"/>
        <v>0</v>
      </c>
      <c r="L533" s="89">
        <f t="shared" si="38"/>
        <v>79826.73000000001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3802.03</v>
      </c>
      <c r="I535" s="18"/>
      <c r="J535" s="18"/>
      <c r="K535" s="18"/>
      <c r="L535" s="88">
        <f>SUM(F535:K535)</f>
        <v>3802.03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3802.04</v>
      </c>
      <c r="I537" s="18"/>
      <c r="J537" s="18"/>
      <c r="K537" s="18"/>
      <c r="L537" s="88">
        <f>SUM(F537:K537)</f>
        <v>3802.04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7604.07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7604.07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71285.8</v>
      </c>
      <c r="I540" s="18"/>
      <c r="J540" s="18"/>
      <c r="K540" s="18"/>
      <c r="L540" s="88">
        <f>SUM(F540:K540)</f>
        <v>71285.8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33367.82</v>
      </c>
      <c r="I541" s="18"/>
      <c r="J541" s="18"/>
      <c r="K541" s="18"/>
      <c r="L541" s="88">
        <f>SUM(F541:K541)</f>
        <v>33367.82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47018.3</v>
      </c>
      <c r="I542" s="18"/>
      <c r="J542" s="18"/>
      <c r="K542" s="18"/>
      <c r="L542" s="88">
        <f>SUM(F542:K542)</f>
        <v>47018.3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151671.91999999998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151671.91999999998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1350585.8499999999</v>
      </c>
      <c r="G544" s="89">
        <f t="shared" ref="G544:L544" si="41">G523+G528+G533+G538+G543</f>
        <v>419015.47</v>
      </c>
      <c r="H544" s="89">
        <f t="shared" si="41"/>
        <v>849538.41999999993</v>
      </c>
      <c r="I544" s="89">
        <f t="shared" si="41"/>
        <v>22154.49</v>
      </c>
      <c r="J544" s="89">
        <f t="shared" si="41"/>
        <v>0</v>
      </c>
      <c r="K544" s="89">
        <f t="shared" si="41"/>
        <v>766</v>
      </c>
      <c r="L544" s="89">
        <f t="shared" si="41"/>
        <v>2642060.2299999995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724282.91999999993</v>
      </c>
      <c r="G548" s="87">
        <f>L525</f>
        <v>208799.58</v>
      </c>
      <c r="H548" s="87">
        <f>L530</f>
        <v>37518.560000000005</v>
      </c>
      <c r="I548" s="87">
        <f>L535</f>
        <v>3802.03</v>
      </c>
      <c r="J548" s="87">
        <f>L540</f>
        <v>71285.8</v>
      </c>
      <c r="K548" s="87">
        <f>SUM(F548:J548)</f>
        <v>1045688.89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591225.44999999995</v>
      </c>
      <c r="G549" s="87">
        <f>L526</f>
        <v>97735.97</v>
      </c>
      <c r="H549" s="87">
        <f>L531</f>
        <v>17561.88</v>
      </c>
      <c r="I549" s="87">
        <f>L536</f>
        <v>0</v>
      </c>
      <c r="J549" s="87">
        <f>L541</f>
        <v>33367.82</v>
      </c>
      <c r="K549" s="87">
        <f>SUM(F549:J549)</f>
        <v>739891.11999999988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643194.72</v>
      </c>
      <c r="G550" s="87">
        <f>L527</f>
        <v>137718.87</v>
      </c>
      <c r="H550" s="87">
        <f>L532</f>
        <v>24746.29</v>
      </c>
      <c r="I550" s="87">
        <f>L537</f>
        <v>3802.04</v>
      </c>
      <c r="J550" s="87">
        <f>L542</f>
        <v>47018.3</v>
      </c>
      <c r="K550" s="87">
        <f>SUM(F550:J550)</f>
        <v>856480.22000000009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1958703.0899999999</v>
      </c>
      <c r="G551" s="89">
        <f t="shared" si="42"/>
        <v>444254.42</v>
      </c>
      <c r="H551" s="89">
        <f t="shared" si="42"/>
        <v>79826.73000000001</v>
      </c>
      <c r="I551" s="89">
        <f t="shared" si="42"/>
        <v>7604.07</v>
      </c>
      <c r="J551" s="89">
        <f t="shared" si="42"/>
        <v>151671.91999999998</v>
      </c>
      <c r="K551" s="89">
        <f t="shared" si="42"/>
        <v>2642060.23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23589.22</v>
      </c>
      <c r="G578" s="18"/>
      <c r="H578" s="18">
        <v>28831.27</v>
      </c>
      <c r="I578" s="87">
        <f t="shared" si="47"/>
        <v>52420.490000000005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46866.35</v>
      </c>
      <c r="G581" s="18">
        <v>286405.48</v>
      </c>
      <c r="H581" s="18">
        <v>187465.41</v>
      </c>
      <c r="I581" s="87">
        <f t="shared" si="47"/>
        <v>520737.24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66500.23</v>
      </c>
      <c r="I590" s="18">
        <v>31894.58</v>
      </c>
      <c r="J590" s="18">
        <v>46313.02</v>
      </c>
      <c r="K590" s="104">
        <f t="shared" ref="K590:K596" si="48">SUM(H590:J590)</f>
        <v>144707.82999999999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71285.8</v>
      </c>
      <c r="I591" s="18">
        <v>33367.82</v>
      </c>
      <c r="J591" s="18">
        <v>47018.3</v>
      </c>
      <c r="K591" s="104">
        <f t="shared" si="48"/>
        <v>151671.91999999998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19902.150000000001</v>
      </c>
      <c r="K592" s="104">
        <f t="shared" si="48"/>
        <v>19902.150000000001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16047.56</v>
      </c>
      <c r="J593" s="18">
        <v>24071.33</v>
      </c>
      <c r="K593" s="104">
        <f t="shared" si="48"/>
        <v>40118.89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3980.22</v>
      </c>
      <c r="I594" s="18">
        <v>3894.63</v>
      </c>
      <c r="J594" s="18">
        <v>5841.95</v>
      </c>
      <c r="K594" s="104">
        <f t="shared" si="48"/>
        <v>13716.8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141766.25</v>
      </c>
      <c r="I597" s="108">
        <f>SUM(I590:I596)</f>
        <v>85204.590000000011</v>
      </c>
      <c r="J597" s="108">
        <f>SUM(J590:J596)</f>
        <v>143146.75</v>
      </c>
      <c r="K597" s="108">
        <f>SUM(K590:K596)</f>
        <v>370117.59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87143.57</v>
      </c>
      <c r="I603" s="18">
        <v>45673.71</v>
      </c>
      <c r="J603" s="18">
        <v>84704.48</v>
      </c>
      <c r="K603" s="104">
        <f>SUM(H603:J603)</f>
        <v>217521.76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87143.57</v>
      </c>
      <c r="I604" s="108">
        <f>SUM(I601:I603)</f>
        <v>45673.71</v>
      </c>
      <c r="J604" s="108">
        <f>SUM(J601:J603)</f>
        <v>84704.48</v>
      </c>
      <c r="K604" s="108">
        <f>SUM(K601:K603)</f>
        <v>217521.76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13666.41</v>
      </c>
      <c r="G610" s="18">
        <v>1712.58</v>
      </c>
      <c r="H610" s="18"/>
      <c r="I610" s="18"/>
      <c r="J610" s="18"/>
      <c r="K610" s="18"/>
      <c r="L610" s="88">
        <f>SUM(F610:K610)</f>
        <v>15378.99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8134.38</v>
      </c>
      <c r="G611" s="18">
        <v>910.45</v>
      </c>
      <c r="H611" s="18"/>
      <c r="I611" s="18">
        <v>282.16000000000003</v>
      </c>
      <c r="J611" s="18"/>
      <c r="K611" s="18"/>
      <c r="L611" s="88">
        <f>SUM(F611:K611)</f>
        <v>9326.99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8134.38</v>
      </c>
      <c r="G612" s="18">
        <v>910.44</v>
      </c>
      <c r="H612" s="18"/>
      <c r="I612" s="18">
        <v>282.16000000000003</v>
      </c>
      <c r="J612" s="18"/>
      <c r="K612" s="18"/>
      <c r="L612" s="88">
        <f>SUM(F612:K612)</f>
        <v>9326.98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29935.170000000002</v>
      </c>
      <c r="G613" s="108">
        <f t="shared" si="49"/>
        <v>3533.47</v>
      </c>
      <c r="H613" s="108">
        <f t="shared" si="49"/>
        <v>0</v>
      </c>
      <c r="I613" s="108">
        <f t="shared" si="49"/>
        <v>564.32000000000005</v>
      </c>
      <c r="J613" s="108">
        <f t="shared" si="49"/>
        <v>0</v>
      </c>
      <c r="K613" s="108">
        <f t="shared" si="49"/>
        <v>0</v>
      </c>
      <c r="L613" s="89">
        <f t="shared" si="49"/>
        <v>34032.959999999999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1321783.26</v>
      </c>
      <c r="H616" s="109">
        <f>SUM(F51)</f>
        <v>1321783.2599999998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64922.469999999994</v>
      </c>
      <c r="H617" s="109">
        <f>SUM(G51)</f>
        <v>64922.47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155082.87</v>
      </c>
      <c r="H618" s="109">
        <f>SUM(H51)</f>
        <v>155082.87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449497.67000000004</v>
      </c>
      <c r="H620" s="109">
        <f>SUM(J51)</f>
        <v>449497.67000000004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528568.90999999992</v>
      </c>
      <c r="H621" s="109">
        <f>F475</f>
        <v>528568.90999999829</v>
      </c>
      <c r="I621" s="121" t="s">
        <v>101</v>
      </c>
      <c r="J621" s="109">
        <f t="shared" ref="J621:J654" si="50">G621-H621</f>
        <v>1.6298145055770874E-9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13490.08</v>
      </c>
      <c r="H622" s="109">
        <f>G475</f>
        <v>13490.079999999958</v>
      </c>
      <c r="I622" s="121" t="s">
        <v>102</v>
      </c>
      <c r="J622" s="109">
        <f t="shared" si="50"/>
        <v>4.1836756281554699E-11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449497.67000000004</v>
      </c>
      <c r="H625" s="109">
        <f>J475</f>
        <v>449497.67000000004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11057091.370000001</v>
      </c>
      <c r="H626" s="104">
        <f>SUM(F467)</f>
        <v>11057091.369999999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290056.66000000003</v>
      </c>
      <c r="H627" s="104">
        <f>SUM(G467)</f>
        <v>290056.65999999997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716257.85000000009</v>
      </c>
      <c r="H628" s="104">
        <f>SUM(H467)</f>
        <v>716257.85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61991.34</v>
      </c>
      <c r="H630" s="104">
        <f>SUM(J467)</f>
        <v>61991.34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10649205.630000001</v>
      </c>
      <c r="H631" s="104">
        <f>SUM(F471)</f>
        <v>10649205.630000001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791252.02</v>
      </c>
      <c r="H632" s="104">
        <f>SUM(H471)</f>
        <v>791252.02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276566.58</v>
      </c>
      <c r="H634" s="104">
        <f>SUM(G471)</f>
        <v>276566.58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61991.34</v>
      </c>
      <c r="H636" s="164">
        <f>SUM(J467)</f>
        <v>61991.34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32538.84</v>
      </c>
      <c r="H638" s="104">
        <f>SUM(F460)</f>
        <v>32538.84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416958.83</v>
      </c>
      <c r="H639" s="104">
        <f>SUM(G460)</f>
        <v>416958.83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449497.67000000004</v>
      </c>
      <c r="H641" s="104">
        <f>SUM(I460)</f>
        <v>449497.67000000004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11991.34</v>
      </c>
      <c r="H643" s="104">
        <f>H407</f>
        <v>11991.34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61991.34</v>
      </c>
      <c r="H645" s="104">
        <f>L407</f>
        <v>61991.34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370117.59</v>
      </c>
      <c r="H646" s="104">
        <f>L207+L225+L243</f>
        <v>370117.58999999997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217521.76</v>
      </c>
      <c r="H647" s="104">
        <f>(J256+J337)-(J254+J335)</f>
        <v>217521.76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141766.25</v>
      </c>
      <c r="H648" s="104">
        <f>H597</f>
        <v>141766.25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85204.59</v>
      </c>
      <c r="H649" s="104">
        <f>I597</f>
        <v>85204.590000000011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143146.75</v>
      </c>
      <c r="H650" s="104">
        <f>J597</f>
        <v>143146.75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4398831.08</v>
      </c>
      <c r="G659" s="19">
        <f>(L228+L308+L358)</f>
        <v>2541955.2699999996</v>
      </c>
      <c r="H659" s="19">
        <f>(L246+L327+L359)</f>
        <v>3668207.3400000003</v>
      </c>
      <c r="I659" s="19">
        <f>SUM(F659:H659)</f>
        <v>10608993.689999999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54613.707507610641</v>
      </c>
      <c r="G660" s="19">
        <f>(L358/IF(SUM(L357:L359)=0,1,SUM(L357:L359))*(SUM(G96:G109)))</f>
        <v>25563.864608359403</v>
      </c>
      <c r="H660" s="19">
        <f>(L359/IF(SUM(L357:L359)=0,1,SUM(L357:L359))*(SUM(G96:G109)))</f>
        <v>36021.807884029949</v>
      </c>
      <c r="I660" s="19">
        <f>SUM(F660:H660)</f>
        <v>116199.38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143620.57999999999</v>
      </c>
      <c r="G661" s="19">
        <f>(L225+L305)-(J225+J305)</f>
        <v>85822.7</v>
      </c>
      <c r="H661" s="19">
        <f>(L243+L324)-(J243+J324)</f>
        <v>123244.6</v>
      </c>
      <c r="I661" s="19">
        <f>SUM(F661:H661)</f>
        <v>352687.88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172978.13</v>
      </c>
      <c r="G662" s="199">
        <f>SUM(G574:G586)+SUM(I601:I603)+L611</f>
        <v>341406.18</v>
      </c>
      <c r="H662" s="199">
        <f>SUM(H574:H586)+SUM(J601:J603)+L612</f>
        <v>310328.13999999996</v>
      </c>
      <c r="I662" s="19">
        <f>SUM(F662:H662)</f>
        <v>824712.45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4027618.6624923893</v>
      </c>
      <c r="G663" s="19">
        <f>G659-SUM(G660:G662)</f>
        <v>2089162.5253916401</v>
      </c>
      <c r="H663" s="19">
        <f>H659-SUM(H660:H662)</f>
        <v>3198612.7921159705</v>
      </c>
      <c r="I663" s="19">
        <f>I659-SUM(I660:I662)</f>
        <v>9315393.9800000004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267.64999999999998</v>
      </c>
      <c r="G664" s="248">
        <v>125.18</v>
      </c>
      <c r="H664" s="248">
        <v>171.18</v>
      </c>
      <c r="I664" s="19">
        <f>SUM(F664:H664)</f>
        <v>564.01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15048.08</v>
      </c>
      <c r="G666" s="19">
        <f>ROUND(G663/G664,2)</f>
        <v>16689.27</v>
      </c>
      <c r="H666" s="19">
        <f>ROUND(H663/H664,2)</f>
        <v>18685.669999999998</v>
      </c>
      <c r="I666" s="19">
        <f>ROUND(I663/I664,2)</f>
        <v>16516.36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0</v>
      </c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15048.08</v>
      </c>
      <c r="G671" s="19">
        <f>ROUND((G663+G668)/(G664+G669),2)</f>
        <v>16689.27</v>
      </c>
      <c r="H671" s="19">
        <f>ROUND((H663+H668)/(H664+H669),2)</f>
        <v>18685.669999999998</v>
      </c>
      <c r="I671" s="19">
        <f>ROUND((I663+I668)/(I664+I669),2)</f>
        <v>16516.36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>&amp;CDOE 25 for 2012-2013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HINSDALE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2522419.5700000003</v>
      </c>
      <c r="C9" s="229">
        <f>'DOE25'!G196+'DOE25'!G214+'DOE25'!G232+'DOE25'!G275+'DOE25'!G294+'DOE25'!G313</f>
        <v>1171436.9400000002</v>
      </c>
    </row>
    <row r="10" spans="1:3" x14ac:dyDescent="0.2">
      <c r="A10" t="s">
        <v>779</v>
      </c>
      <c r="B10" s="240">
        <v>2296295.65</v>
      </c>
      <c r="C10" s="240">
        <v>1115283.1200000001</v>
      </c>
    </row>
    <row r="11" spans="1:3" x14ac:dyDescent="0.2">
      <c r="A11" t="s">
        <v>780</v>
      </c>
      <c r="B11" s="240">
        <v>70314.679999999993</v>
      </c>
      <c r="C11" s="240">
        <v>8766.44</v>
      </c>
    </row>
    <row r="12" spans="1:3" x14ac:dyDescent="0.2">
      <c r="A12" t="s">
        <v>781</v>
      </c>
      <c r="B12" s="240">
        <v>155809.24</v>
      </c>
      <c r="C12" s="240">
        <v>47387.38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2522419.5700000003</v>
      </c>
      <c r="C13" s="231">
        <f>SUM(C10:C12)</f>
        <v>1171436.94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1063327.28</v>
      </c>
      <c r="C18" s="229">
        <f>'DOE25'!G197+'DOE25'!G215+'DOE25'!G233+'DOE25'!G276+'DOE25'!G295+'DOE25'!G314</f>
        <v>304066.59999999998</v>
      </c>
    </row>
    <row r="19" spans="1:3" x14ac:dyDescent="0.2">
      <c r="A19" t="s">
        <v>779</v>
      </c>
      <c r="B19" s="240">
        <v>471972.05</v>
      </c>
      <c r="C19" s="240">
        <v>261292.66</v>
      </c>
    </row>
    <row r="20" spans="1:3" x14ac:dyDescent="0.2">
      <c r="A20" t="s">
        <v>780</v>
      </c>
      <c r="B20" s="240">
        <v>591355.23</v>
      </c>
      <c r="C20" s="240">
        <v>42773.94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1063327.28</v>
      </c>
      <c r="C22" s="231">
        <f>SUM(C19:C21)</f>
        <v>304066.59999999998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10180</v>
      </c>
      <c r="C27" s="234">
        <f>'DOE25'!G198+'DOE25'!G216+'DOE25'!G234+'DOE25'!G277+'DOE25'!G296+'DOE25'!G315</f>
        <v>778.82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10180</v>
      </c>
      <c r="C30" s="240">
        <v>778.82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10180</v>
      </c>
      <c r="C31" s="231">
        <f>SUM(C28:C30)</f>
        <v>778.82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97369.81</v>
      </c>
      <c r="C36" s="235">
        <f>'DOE25'!G199+'DOE25'!G217+'DOE25'!G235+'DOE25'!G278+'DOE25'!G297+'DOE25'!G316</f>
        <v>13336.08</v>
      </c>
    </row>
    <row r="37" spans="1:3" x14ac:dyDescent="0.2">
      <c r="A37" t="s">
        <v>779</v>
      </c>
      <c r="B37" s="240">
        <v>29935.17</v>
      </c>
      <c r="C37" s="240">
        <v>3533.47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67434.64</v>
      </c>
      <c r="C39" s="240">
        <v>9802.61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97369.81</v>
      </c>
      <c r="C40" s="231">
        <f>SUM(C37:C39)</f>
        <v>13336.08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HINSDALE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5518895.0099999998</v>
      </c>
      <c r="D5" s="20">
        <f>SUM('DOE25'!L196:L199)+SUM('DOE25'!L214:L217)+SUM('DOE25'!L232:L235)-F5-G5</f>
        <v>5500793.0299999993</v>
      </c>
      <c r="E5" s="243"/>
      <c r="F5" s="255">
        <f>SUM('DOE25'!J196:J199)+SUM('DOE25'!J214:J217)+SUM('DOE25'!J232:J235)</f>
        <v>12207.75</v>
      </c>
      <c r="G5" s="53">
        <f>SUM('DOE25'!K196:K199)+SUM('DOE25'!K214:K217)+SUM('DOE25'!K232:K235)</f>
        <v>5894.2300000000005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845661.64999999991</v>
      </c>
      <c r="D6" s="20">
        <f>'DOE25'!L201+'DOE25'!L219+'DOE25'!L237-F6-G6</f>
        <v>844415.52999999991</v>
      </c>
      <c r="E6" s="243"/>
      <c r="F6" s="255">
        <f>'DOE25'!J201+'DOE25'!J219+'DOE25'!J237</f>
        <v>0</v>
      </c>
      <c r="G6" s="53">
        <f>'DOE25'!K201+'DOE25'!K219+'DOE25'!K237</f>
        <v>1246.1199999999999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129960.23999999999</v>
      </c>
      <c r="D7" s="20">
        <f>'DOE25'!L202+'DOE25'!L220+'DOE25'!L238-F7-G7</f>
        <v>129658.23999999999</v>
      </c>
      <c r="E7" s="243"/>
      <c r="F7" s="255">
        <f>'DOE25'!J202+'DOE25'!J220+'DOE25'!J238</f>
        <v>0</v>
      </c>
      <c r="G7" s="53">
        <f>'DOE25'!K202+'DOE25'!K220+'DOE25'!K238</f>
        <v>302</v>
      </c>
      <c r="H7" s="259"/>
    </row>
    <row r="8" spans="1:9" x14ac:dyDescent="0.2">
      <c r="A8" s="32">
        <v>2300</v>
      </c>
      <c r="B8" t="s">
        <v>802</v>
      </c>
      <c r="C8" s="245">
        <f t="shared" si="0"/>
        <v>422857.54999999987</v>
      </c>
      <c r="D8" s="243"/>
      <c r="E8" s="20">
        <f>'DOE25'!L203+'DOE25'!L221+'DOE25'!L239-F8-G8-D9-D11</f>
        <v>411841.61999999988</v>
      </c>
      <c r="F8" s="255">
        <f>'DOE25'!J203+'DOE25'!J221+'DOE25'!J239</f>
        <v>2267.79</v>
      </c>
      <c r="G8" s="53">
        <f>'DOE25'!K203+'DOE25'!K221+'DOE25'!K239</f>
        <v>8748.14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33375.67</v>
      </c>
      <c r="D9" s="244">
        <v>33375.67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16027.2</v>
      </c>
      <c r="D10" s="243"/>
      <c r="E10" s="244">
        <v>16027.2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153718.21</v>
      </c>
      <c r="D11" s="244">
        <v>153718.21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795440.25</v>
      </c>
      <c r="D12" s="20">
        <f>'DOE25'!L204+'DOE25'!L222+'DOE25'!L240-F12-G12</f>
        <v>790645.75</v>
      </c>
      <c r="E12" s="243"/>
      <c r="F12" s="255">
        <f>'DOE25'!J204+'DOE25'!J222+'DOE25'!J240</f>
        <v>0</v>
      </c>
      <c r="G12" s="53">
        <f>'DOE25'!K204+'DOE25'!K222+'DOE25'!K240</f>
        <v>4794.5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1042683.46</v>
      </c>
      <c r="D14" s="20">
        <f>'DOE25'!L206+'DOE25'!L224+'DOE25'!L242-F14-G14</f>
        <v>997882.46</v>
      </c>
      <c r="E14" s="243"/>
      <c r="F14" s="255">
        <f>'DOE25'!J206+'DOE25'!J224+'DOE25'!J242</f>
        <v>44801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370117.58999999997</v>
      </c>
      <c r="D15" s="20">
        <f>'DOE25'!L207+'DOE25'!L225+'DOE25'!L243-F15-G15</f>
        <v>350215.43999999994</v>
      </c>
      <c r="E15" s="243"/>
      <c r="F15" s="255">
        <f>'DOE25'!J207+'DOE25'!J225+'DOE25'!J243</f>
        <v>19902.150000000001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236397.5</v>
      </c>
      <c r="D16" s="243"/>
      <c r="E16" s="20">
        <f>'DOE25'!L208+'DOE25'!L226+'DOE25'!L244-F16-G16</f>
        <v>97955.43</v>
      </c>
      <c r="F16" s="255">
        <f>'DOE25'!J208+'DOE25'!J226+'DOE25'!J244</f>
        <v>138343.07</v>
      </c>
      <c r="G16" s="53">
        <f>'DOE25'!K208+'DOE25'!K226+'DOE25'!K244</f>
        <v>99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1050098.5</v>
      </c>
      <c r="D25" s="243"/>
      <c r="E25" s="243"/>
      <c r="F25" s="258"/>
      <c r="G25" s="256"/>
      <c r="H25" s="257">
        <f>'DOE25'!L259+'DOE25'!L260+'DOE25'!L340+'DOE25'!L341</f>
        <v>1050098.5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276566.58</v>
      </c>
      <c r="D29" s="20">
        <f>'DOE25'!L357+'DOE25'!L358+'DOE25'!L359-'DOE25'!I366-F29-G29</f>
        <v>276566.58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783319.98</v>
      </c>
      <c r="D31" s="20">
        <f>'DOE25'!L289+'DOE25'!L308+'DOE25'!L327+'DOE25'!L332+'DOE25'!L333+'DOE25'!L334-F31-G31</f>
        <v>772058.96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11261.02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9849329.870000001</v>
      </c>
      <c r="E33" s="246">
        <f>SUM(E5:E31)</f>
        <v>525824.24999999988</v>
      </c>
      <c r="F33" s="246">
        <f>SUM(F5:F31)</f>
        <v>217521.76</v>
      </c>
      <c r="G33" s="246">
        <f>SUM(G5:G31)</f>
        <v>32345.01</v>
      </c>
      <c r="H33" s="246">
        <f>SUM(H5:H31)</f>
        <v>1050098.5</v>
      </c>
    </row>
    <row r="35" spans="2:8" ht="12" thickBot="1" x14ac:dyDescent="0.25">
      <c r="B35" s="253" t="s">
        <v>847</v>
      </c>
      <c r="D35" s="254">
        <f>E33</f>
        <v>525824.24999999988</v>
      </c>
      <c r="E35" s="249"/>
    </row>
    <row r="36" spans="2:8" ht="12" thickTop="1" x14ac:dyDescent="0.2">
      <c r="B36" t="s">
        <v>815</v>
      </c>
      <c r="D36" s="20">
        <f>D33</f>
        <v>9849329.870000001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HINSDALE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1157385.3899999999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145328.5</v>
      </c>
      <c r="D11" s="95">
        <f>'DOE25'!G12</f>
        <v>32785.269999999997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19069.37</v>
      </c>
      <c r="D12" s="95">
        <f>'DOE25'!G13</f>
        <v>30609.77</v>
      </c>
      <c r="E12" s="95">
        <f>'DOE25'!H13</f>
        <v>155082.87</v>
      </c>
      <c r="F12" s="95">
        <f>'DOE25'!I13</f>
        <v>0</v>
      </c>
      <c r="G12" s="95">
        <f>'DOE25'!J13</f>
        <v>449497.67000000004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641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886.43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1321783.26</v>
      </c>
      <c r="D18" s="41">
        <f>SUM(D8:D17)</f>
        <v>64922.469999999994</v>
      </c>
      <c r="E18" s="41">
        <f>SUM(E8:E17)</f>
        <v>155082.87</v>
      </c>
      <c r="F18" s="41">
        <f>SUM(F8:F17)</f>
        <v>0</v>
      </c>
      <c r="G18" s="41">
        <f>SUM(G8:G17)</f>
        <v>449497.67000000004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153885.07999999999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92676.85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171291.38</v>
      </c>
      <c r="D23" s="95">
        <f>'DOE25'!G24</f>
        <v>51432.39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529246.12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1197.79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793214.35</v>
      </c>
      <c r="D31" s="41">
        <f>SUM(D21:D30)</f>
        <v>51432.39</v>
      </c>
      <c r="E31" s="41">
        <f>SUM(E21:E30)</f>
        <v>155082.87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13490.08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449497.67000000004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120943.17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307625.74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528568.90999999992</v>
      </c>
      <c r="D49" s="41">
        <f>SUM(D34:D48)</f>
        <v>13490.08</v>
      </c>
      <c r="E49" s="41">
        <f>SUM(E34:E48)</f>
        <v>0</v>
      </c>
      <c r="F49" s="41">
        <f>SUM(F34:F48)</f>
        <v>0</v>
      </c>
      <c r="G49" s="41">
        <f>SUM(G34:G48)</f>
        <v>449497.67000000004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1321783.2599999998</v>
      </c>
      <c r="D50" s="41">
        <f>D49+D31</f>
        <v>64922.47</v>
      </c>
      <c r="E50" s="41">
        <f>E49+E31</f>
        <v>155082.87</v>
      </c>
      <c r="F50" s="41">
        <f>F49+F31</f>
        <v>0</v>
      </c>
      <c r="G50" s="41">
        <f>G49+G31</f>
        <v>449497.67000000004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4810396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95899.839999999997</v>
      </c>
      <c r="D56" s="24" t="s">
        <v>289</v>
      </c>
      <c r="E56" s="95">
        <f>'DOE25'!H78</f>
        <v>9834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11991.34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116199.38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118446.44</v>
      </c>
      <c r="D60" s="95">
        <f>SUM('DOE25'!G97:G109)</f>
        <v>0</v>
      </c>
      <c r="E60" s="95">
        <f>SUM('DOE25'!H97:H109)</f>
        <v>12960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214346.28</v>
      </c>
      <c r="D61" s="130">
        <f>SUM(D56:D60)</f>
        <v>116199.38</v>
      </c>
      <c r="E61" s="130">
        <f>SUM(E56:E60)</f>
        <v>22794</v>
      </c>
      <c r="F61" s="130">
        <f>SUM(F56:F60)</f>
        <v>0</v>
      </c>
      <c r="G61" s="130">
        <f>SUM(G56:G60)</f>
        <v>11991.34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5024742.28</v>
      </c>
      <c r="D62" s="22">
        <f>D55+D61</f>
        <v>116199.38</v>
      </c>
      <c r="E62" s="22">
        <f>E55+E61</f>
        <v>22794</v>
      </c>
      <c r="F62" s="22">
        <f>F55+F61</f>
        <v>0</v>
      </c>
      <c r="G62" s="22">
        <f>G55+G61</f>
        <v>11991.34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4645701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561497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5207198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462802.59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175502.73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33630.449999999997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13735.56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671935.77</v>
      </c>
      <c r="D77" s="130">
        <f>SUM(D71:D76)</f>
        <v>13735.56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5879133.7699999996</v>
      </c>
      <c r="D80" s="130">
        <f>SUM(D78:D79)+D77+D69</f>
        <v>13735.56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115813.58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153215.32</v>
      </c>
      <c r="D87" s="95">
        <f>SUM('DOE25'!G152:G160)</f>
        <v>160121.72</v>
      </c>
      <c r="E87" s="95">
        <f>SUM('DOE25'!H152:H160)</f>
        <v>577650.27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153215.32</v>
      </c>
      <c r="D90" s="131">
        <f>SUM(D84:D89)</f>
        <v>160121.72</v>
      </c>
      <c r="E90" s="131">
        <f>SUM(E84:E89)</f>
        <v>693463.85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11057091.370000001</v>
      </c>
      <c r="D103" s="86">
        <f>D62+D80+D90+D102</f>
        <v>290056.66000000003</v>
      </c>
      <c r="E103" s="86">
        <f>E62+E80+E90+E102</f>
        <v>716257.85</v>
      </c>
      <c r="F103" s="86">
        <f>F62+F80+F90+F102</f>
        <v>0</v>
      </c>
      <c r="G103" s="86">
        <f>G62+G80+G102</f>
        <v>61991.34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3430441.71</v>
      </c>
      <c r="D108" s="24" t="s">
        <v>289</v>
      </c>
      <c r="E108" s="95">
        <f>('DOE25'!L275)+('DOE25'!L294)+('DOE25'!L313)</f>
        <v>635946.17999999993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1902461.1999999997</v>
      </c>
      <c r="D109" s="24" t="s">
        <v>289</v>
      </c>
      <c r="E109" s="95">
        <f>('DOE25'!L276)+('DOE25'!L295)+('DOE25'!L314)</f>
        <v>134901.36000000002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14237.65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171754.45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5518895.0100000007</v>
      </c>
      <c r="D114" s="86">
        <f>SUM(D108:D113)</f>
        <v>0</v>
      </c>
      <c r="E114" s="86">
        <f>SUM(E108:E113)</f>
        <v>770847.53999999992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845661.64999999991</v>
      </c>
      <c r="D117" s="24" t="s">
        <v>289</v>
      </c>
      <c r="E117" s="95">
        <f>+('DOE25'!L280)+('DOE25'!L299)+('DOE25'!L318)</f>
        <v>10000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129960.23999999999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609951.42999999993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795440.25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1042683.46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370117.58999999997</v>
      </c>
      <c r="D123" s="24" t="s">
        <v>289</v>
      </c>
      <c r="E123" s="95">
        <f>+('DOE25'!L286)+('DOE25'!L305)+('DOE25'!L324)</f>
        <v>2472.44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236397.5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276566.58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4030212.1199999996</v>
      </c>
      <c r="D127" s="86">
        <f>SUM(D117:D126)</f>
        <v>276566.58</v>
      </c>
      <c r="E127" s="86">
        <f>SUM(E117:E126)</f>
        <v>12472.44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655000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395098.5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7932.04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4.3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61987.039999999994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-11991.339999999997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1100098.5</v>
      </c>
      <c r="D143" s="141">
        <f>SUM(D129:D142)</f>
        <v>0</v>
      </c>
      <c r="E143" s="141">
        <f>SUM(E129:E142)</f>
        <v>7932.04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10649205.630000001</v>
      </c>
      <c r="D144" s="86">
        <f>(D114+D127+D143)</f>
        <v>276566.58</v>
      </c>
      <c r="E144" s="86">
        <f>(E114+E127+E143)</f>
        <v>791252.0199999999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13032960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9105000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9105000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655000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655000</v>
      </c>
    </row>
    <row r="158" spans="1:9" x14ac:dyDescent="0.2">
      <c r="A158" s="22" t="s">
        <v>35</v>
      </c>
      <c r="B158" s="137">
        <f>'DOE25'!F497</f>
        <v>8450000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8450000</v>
      </c>
    </row>
    <row r="159" spans="1:9" x14ac:dyDescent="0.2">
      <c r="A159" s="22" t="s">
        <v>36</v>
      </c>
      <c r="B159" s="137">
        <f>'DOE25'!F498</f>
        <v>2391948.75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2391948.75</v>
      </c>
    </row>
    <row r="160" spans="1:9" x14ac:dyDescent="0.2">
      <c r="A160" s="22" t="s">
        <v>37</v>
      </c>
      <c r="B160" s="137">
        <f>'DOE25'!F499</f>
        <v>10841948.75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10841948.75</v>
      </c>
    </row>
    <row r="161" spans="1:7" x14ac:dyDescent="0.2">
      <c r="A161" s="22" t="s">
        <v>38</v>
      </c>
      <c r="B161" s="137">
        <f>'DOE25'!F500</f>
        <v>650000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650000</v>
      </c>
    </row>
    <row r="162" spans="1:7" x14ac:dyDescent="0.2">
      <c r="A162" s="22" t="s">
        <v>39</v>
      </c>
      <c r="B162" s="137">
        <f>'DOE25'!F501</f>
        <v>362473.5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362473.5</v>
      </c>
    </row>
    <row r="163" spans="1:7" x14ac:dyDescent="0.2">
      <c r="A163" s="22" t="s">
        <v>246</v>
      </c>
      <c r="B163" s="137">
        <f>'DOE25'!F502</f>
        <v>1012473.5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1012473.5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HINSDALE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15048</v>
      </c>
    </row>
    <row r="5" spans="1:4" x14ac:dyDescent="0.2">
      <c r="B5" t="s">
        <v>704</v>
      </c>
      <c r="C5" s="179">
        <f>IF('DOE25'!G664+'DOE25'!G669=0,0,ROUND('DOE25'!G671,0))</f>
        <v>16689</v>
      </c>
    </row>
    <row r="6" spans="1:4" x14ac:dyDescent="0.2">
      <c r="B6" t="s">
        <v>62</v>
      </c>
      <c r="C6" s="179">
        <f>IF('DOE25'!H664+'DOE25'!H669=0,0,ROUND('DOE25'!H671,0))</f>
        <v>18686</v>
      </c>
    </row>
    <row r="7" spans="1:4" x14ac:dyDescent="0.2">
      <c r="B7" t="s">
        <v>705</v>
      </c>
      <c r="C7" s="179">
        <f>IF('DOE25'!I664+'DOE25'!I669=0,0,ROUND('DOE25'!I671,0))</f>
        <v>16516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4066388</v>
      </c>
      <c r="D10" s="182">
        <f>ROUND((C10/$C$28)*100,1)</f>
        <v>37.299999999999997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2037363</v>
      </c>
      <c r="D11" s="182">
        <f>ROUND((C11/$C$28)*100,1)</f>
        <v>18.7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14238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171754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855662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129960</v>
      </c>
      <c r="D16" s="182">
        <f t="shared" si="0"/>
        <v>1.2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846349</v>
      </c>
      <c r="D17" s="182">
        <f t="shared" si="0"/>
        <v>7.8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795440</v>
      </c>
      <c r="D18" s="182">
        <f t="shared" si="0"/>
        <v>7.3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1042683</v>
      </c>
      <c r="D20" s="182">
        <f t="shared" si="0"/>
        <v>9.6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372590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395099</v>
      </c>
      <c r="D25" s="182">
        <f t="shared" si="0"/>
        <v>3.6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160367.62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10887893.619999999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10887893.619999999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655000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4810396</v>
      </c>
      <c r="D35" s="182">
        <f t="shared" ref="D35:D40" si="1">ROUND((C35/$C$41)*100,1)</f>
        <v>40.200000000000003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249131.62000000011</v>
      </c>
      <c r="D36" s="182">
        <f t="shared" si="1"/>
        <v>2.1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5207198</v>
      </c>
      <c r="D37" s="182">
        <f t="shared" si="1"/>
        <v>43.5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685671</v>
      </c>
      <c r="D38" s="182">
        <f t="shared" si="1"/>
        <v>5.7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1006801</v>
      </c>
      <c r="D39" s="182">
        <f t="shared" si="1"/>
        <v>8.4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11959197.620000001</v>
      </c>
      <c r="D41" s="184">
        <f>SUM(D35:D40)</f>
        <v>99.90000000000002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HINSDALE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Leclerc, Ron</cp:lastModifiedBy>
  <cp:lastPrinted>2013-10-01T14:31:02Z</cp:lastPrinted>
  <dcterms:created xsi:type="dcterms:W3CDTF">2013-09-12T13:40:38Z</dcterms:created>
  <dcterms:modified xsi:type="dcterms:W3CDTF">2013-12-05T18:44:37Z</dcterms:modified>
</cp:coreProperties>
</file>