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 activeTab="1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C32" i="10" s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1" i="10"/>
  <c r="C12" i="10"/>
  <c r="C13" i="10"/>
  <c r="C15" i="10"/>
  <c r="C16" i="10"/>
  <c r="C17" i="10"/>
  <c r="C18" i="10"/>
  <c r="C19" i="10"/>
  <c r="C21" i="10"/>
  <c r="L249" i="1"/>
  <c r="L331" i="1"/>
  <c r="C23" i="10" s="1"/>
  <c r="L253" i="1"/>
  <c r="C25" i="10"/>
  <c r="L267" i="1"/>
  <c r="L268" i="1"/>
  <c r="L348" i="1"/>
  <c r="L349" i="1"/>
  <c r="I664" i="1"/>
  <c r="I669" i="1"/>
  <c r="L228" i="1"/>
  <c r="L246" i="1"/>
  <c r="F660" i="1"/>
  <c r="G660" i="1"/>
  <c r="H660" i="1"/>
  <c r="F661" i="1"/>
  <c r="G661" i="1"/>
  <c r="H661" i="1"/>
  <c r="I668" i="1"/>
  <c r="C4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D144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G158" i="2" s="1"/>
  <c r="C158" i="2"/>
  <c r="D158" i="2"/>
  <c r="E158" i="2"/>
  <c r="F158" i="2"/>
  <c r="B159" i="2"/>
  <c r="C159" i="2"/>
  <c r="D159" i="2"/>
  <c r="E159" i="2"/>
  <c r="F159" i="2"/>
  <c r="F499" i="1"/>
  <c r="B160" i="2" s="1"/>
  <c r="G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G617" i="1" s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G191" i="1" s="1"/>
  <c r="H182" i="1"/>
  <c r="I182" i="1"/>
  <c r="J182" i="1"/>
  <c r="J191" i="1" s="1"/>
  <c r="F187" i="1"/>
  <c r="F191" i="1" s="1"/>
  <c r="G187" i="1"/>
  <c r="H187" i="1"/>
  <c r="I187" i="1"/>
  <c r="F210" i="1"/>
  <c r="G210" i="1"/>
  <c r="G256" i="1" s="1"/>
  <c r="G270" i="1" s="1"/>
  <c r="H210" i="1"/>
  <c r="I210" i="1"/>
  <c r="J210" i="1"/>
  <c r="K210" i="1"/>
  <c r="K256" i="1" s="1"/>
  <c r="K270" i="1" s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H337" i="1" s="1"/>
  <c r="H351" i="1" s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H643" i="1" s="1"/>
  <c r="J643" i="1" s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4" i="1"/>
  <c r="H646" i="1"/>
  <c r="G648" i="1"/>
  <c r="J648" i="1" s="1"/>
  <c r="G649" i="1"/>
  <c r="G650" i="1"/>
  <c r="G651" i="1"/>
  <c r="H651" i="1"/>
  <c r="G652" i="1"/>
  <c r="H652" i="1"/>
  <c r="G653" i="1"/>
  <c r="H653" i="1"/>
  <c r="H654" i="1"/>
  <c r="J654" i="1" s="1"/>
  <c r="L255" i="1"/>
  <c r="I256" i="1"/>
  <c r="I270" i="1" s="1"/>
  <c r="G163" i="2"/>
  <c r="G159" i="2"/>
  <c r="C18" i="2"/>
  <c r="F31" i="2"/>
  <c r="C26" i="10"/>
  <c r="L327" i="1"/>
  <c r="H659" i="1" s="1"/>
  <c r="H663" i="1" s="1"/>
  <c r="L350" i="1"/>
  <c r="I661" i="1"/>
  <c r="A31" i="12"/>
  <c r="C69" i="2"/>
  <c r="A40" i="12"/>
  <c r="D12" i="13"/>
  <c r="C12" i="13" s="1"/>
  <c r="G161" i="2"/>
  <c r="D61" i="2"/>
  <c r="D62" i="2" s="1"/>
  <c r="E49" i="2"/>
  <c r="E50" i="2" s="1"/>
  <c r="D18" i="13"/>
  <c r="C18" i="13" s="1"/>
  <c r="D15" i="13"/>
  <c r="C15" i="13" s="1"/>
  <c r="D7" i="13"/>
  <c r="C7" i="13" s="1"/>
  <c r="F102" i="2"/>
  <c r="D18" i="2"/>
  <c r="E18" i="2"/>
  <c r="D17" i="13"/>
  <c r="C17" i="13" s="1"/>
  <c r="D6" i="13"/>
  <c r="C6" i="13" s="1"/>
  <c r="E8" i="13"/>
  <c r="C8" i="13" s="1"/>
  <c r="C90" i="2"/>
  <c r="G80" i="2"/>
  <c r="F77" i="2"/>
  <c r="F80" i="2" s="1"/>
  <c r="F61" i="2"/>
  <c r="F62" i="2" s="1"/>
  <c r="D31" i="2"/>
  <c r="C77" i="2"/>
  <c r="D49" i="2"/>
  <c r="G156" i="2"/>
  <c r="F49" i="2"/>
  <c r="F50" i="2" s="1"/>
  <c r="F18" i="2"/>
  <c r="G162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J616" i="1"/>
  <c r="E77" i="2"/>
  <c r="E80" i="2" s="1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G551" i="1"/>
  <c r="J642" i="1"/>
  <c r="J475" i="1"/>
  <c r="H625" i="1" s="1"/>
  <c r="H475" i="1"/>
  <c r="H623" i="1" s="1"/>
  <c r="F475" i="1"/>
  <c r="H621" i="1" s="1"/>
  <c r="I475" i="1"/>
  <c r="H624" i="1" s="1"/>
  <c r="J624" i="1" s="1"/>
  <c r="G337" i="1"/>
  <c r="G351" i="1" s="1"/>
  <c r="F168" i="1"/>
  <c r="J139" i="1"/>
  <c r="F570" i="1"/>
  <c r="H256" i="1"/>
  <c r="H270" i="1" s="1"/>
  <c r="I551" i="1"/>
  <c r="K548" i="1"/>
  <c r="K549" i="1"/>
  <c r="G22" i="2"/>
  <c r="K597" i="1"/>
  <c r="G646" i="1" s="1"/>
  <c r="K544" i="1"/>
  <c r="J551" i="1"/>
  <c r="H551" i="1"/>
  <c r="C29" i="10"/>
  <c r="I660" i="1"/>
  <c r="H139" i="1"/>
  <c r="L400" i="1"/>
  <c r="C138" i="2" s="1"/>
  <c r="L392" i="1"/>
  <c r="A13" i="12"/>
  <c r="F22" i="13"/>
  <c r="H25" i="13"/>
  <c r="C25" i="13" s="1"/>
  <c r="J650" i="1"/>
  <c r="J639" i="1"/>
  <c r="J633" i="1"/>
  <c r="H570" i="1"/>
  <c r="L559" i="1"/>
  <c r="J544" i="1"/>
  <c r="F337" i="1"/>
  <c r="F351" i="1" s="1"/>
  <c r="H191" i="1"/>
  <c r="E127" i="2"/>
  <c r="F551" i="1"/>
  <c r="C35" i="10"/>
  <c r="L308" i="1"/>
  <c r="E16" i="13"/>
  <c r="C49" i="2"/>
  <c r="L569" i="1"/>
  <c r="I570" i="1"/>
  <c r="I544" i="1"/>
  <c r="J635" i="1"/>
  <c r="G36" i="2"/>
  <c r="L564" i="1"/>
  <c r="G544" i="1"/>
  <c r="H544" i="1"/>
  <c r="K550" i="1"/>
  <c r="C22" i="13"/>
  <c r="C137" i="2"/>
  <c r="C16" i="13"/>
  <c r="G644" i="1" l="1"/>
  <c r="J644" i="1" s="1"/>
  <c r="L544" i="1"/>
  <c r="K551" i="1"/>
  <c r="K499" i="1"/>
  <c r="G475" i="1"/>
  <c r="H622" i="1" s="1"/>
  <c r="J622" i="1" s="1"/>
  <c r="C20" i="10"/>
  <c r="L289" i="1"/>
  <c r="E144" i="2"/>
  <c r="C10" i="10"/>
  <c r="H33" i="13"/>
  <c r="D5" i="13"/>
  <c r="C5" i="13" s="1"/>
  <c r="J646" i="1"/>
  <c r="C122" i="2"/>
  <c r="C127" i="2" s="1"/>
  <c r="L210" i="1"/>
  <c r="F659" i="1" s="1"/>
  <c r="E33" i="13"/>
  <c r="D35" i="13" s="1"/>
  <c r="C80" i="2"/>
  <c r="J621" i="1"/>
  <c r="J623" i="1"/>
  <c r="C50" i="2"/>
  <c r="L337" i="1"/>
  <c r="L351" i="1" s="1"/>
  <c r="G632" i="1" s="1"/>
  <c r="J632" i="1" s="1"/>
  <c r="C24" i="10"/>
  <c r="G659" i="1"/>
  <c r="G663" i="1" s="1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H666" i="1"/>
  <c r="H671" i="1"/>
  <c r="C6" i="10" s="1"/>
  <c r="F31" i="13"/>
  <c r="D31" i="13" s="1"/>
  <c r="C31" i="13" s="1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666" i="1"/>
  <c r="G671" i="1"/>
  <c r="C5" i="10" s="1"/>
  <c r="G42" i="2"/>
  <c r="J50" i="1"/>
  <c r="G16" i="2"/>
  <c r="J19" i="1"/>
  <c r="G620" i="1" s="1"/>
  <c r="F33" i="13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G49" i="2"/>
  <c r="G50" i="2" s="1"/>
  <c r="H647" i="1"/>
  <c r="J647" i="1" s="1"/>
  <c r="C103" i="2"/>
  <c r="J651" i="1"/>
  <c r="J641" i="1"/>
  <c r="G570" i="1"/>
  <c r="I433" i="1"/>
  <c r="G433" i="1"/>
  <c r="E103" i="2"/>
  <c r="I662" i="1"/>
  <c r="C27" i="10"/>
  <c r="G634" i="1"/>
  <c r="J634" i="1" s="1"/>
  <c r="H645" i="1" l="1"/>
  <c r="J645" i="1" s="1"/>
  <c r="C28" i="10"/>
  <c r="D23" i="10" s="1"/>
  <c r="C144" i="2"/>
  <c r="L256" i="1"/>
  <c r="L270" i="1" s="1"/>
  <c r="G631" i="1" s="1"/>
  <c r="J631" i="1" s="1"/>
  <c r="F663" i="1"/>
  <c r="I659" i="1"/>
  <c r="G630" i="1"/>
  <c r="J630" i="1" s="1"/>
  <c r="I663" i="1"/>
  <c r="I671" i="1" s="1"/>
  <c r="C7" i="10" s="1"/>
  <c r="D33" i="13"/>
  <c r="D36" i="13" s="1"/>
  <c r="G192" i="1"/>
  <c r="G627" i="1" s="1"/>
  <c r="J627" i="1" s="1"/>
  <c r="G625" i="1"/>
  <c r="J625" i="1" s="1"/>
  <c r="J51" i="1"/>
  <c r="H620" i="1" s="1"/>
  <c r="J620" i="1" s="1"/>
  <c r="C38" i="10"/>
  <c r="D24" i="10"/>
  <c r="D19" i="10"/>
  <c r="D12" i="10"/>
  <c r="D25" i="10"/>
  <c r="D17" i="10"/>
  <c r="D15" i="10"/>
  <c r="D18" i="10"/>
  <c r="D20" i="10"/>
  <c r="D27" i="10"/>
  <c r="D10" i="10" l="1"/>
  <c r="D13" i="10"/>
  <c r="D26" i="10"/>
  <c r="D11" i="10"/>
  <c r="C30" i="10"/>
  <c r="D21" i="10"/>
  <c r="D16" i="10"/>
  <c r="D22" i="10"/>
  <c r="F671" i="1"/>
  <c r="C4" i="10" s="1"/>
  <c r="F666" i="1"/>
  <c r="I666" i="1"/>
  <c r="H655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<sst xmlns="http://schemas.openxmlformats.org/spreadsheetml/2006/main" count="3947" uniqueCount="912">
  <si>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</si>
  <si>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</si>
  <si>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</si>
  <si>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</si>
  <si>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</si>
  <si>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</si>
  <si>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</si>
  <si>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</si>
  <si>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</si>
  <si>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</si>
  <si>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</si>
  <si>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</si>
  <si>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</si>
  <si>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</si>
  <si>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</si>
  <si>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</si>
  <si>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</si>
  <si>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</si>
  <si>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</si>
  <si>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</si>
  <si>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</si>
  <si>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</si>
  <si>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</si>
  <si>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</si>
  <si>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</si>
  <si>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</si>
  <si>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</si>
  <si>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</si>
  <si>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</si>
  <si>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</si>
  <si>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</si>
  <si>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</si>
  <si>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</si>
  <si>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</si>
  <si>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</si>
  <si>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</si>
  <si>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</si>
  <si>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</si>
  <si>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</si>
  <si>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</si>
  <si>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</si>
  <si>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</si>
  <si>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</si>
  <si>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</si>
  <si>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</si>
  <si>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</si>
  <si>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</si>
  <si>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</si>
  <si>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</si>
  <si>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</si>
  <si>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</si>
  <si>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</si>
  <si>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</si>
  <si>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</si>
  <si>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</si>
  <si>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</si>
  <si>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</si>
  <si>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</si>
  <si>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</si>
  <si>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</si>
  <si>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</si>
  <si>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</si>
  <si>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</si>
  <si>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</si>
  <si>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</si>
  <si>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</si>
  <si>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</si>
  <si>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</si>
  <si>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</si>
  <si>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</si>
  <si>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</si>
  <si>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</si>
  <si>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</si>
  <si>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</si>
  <si>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</si>
  <si>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</si>
  <si>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</si>
  <si>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</si>
  <si>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</si>
  <si>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</si>
  <si>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</si>
  <si>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</si>
  <si>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</si>
  <si>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</si>
  <si>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</si>
  <si>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</si>
  <si>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</si>
  <si>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</si>
  <si>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</si>
  <si>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</si>
  <si>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</si>
  <si>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</si>
  <si>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</si>
  <si>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</si>
  <si>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</si>
  <si>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</si>
  <si>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</si>
  <si>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</si>
  <si>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</si>
  <si>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</si>
  <si>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</si>
  <si>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</si>
  <si>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</si>
  <si>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</si>
  <si>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</si>
  <si>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</si>
  <si>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</si>
  <si>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</si>
  <si>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</si>
  <si>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</si>
  <si>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</si>
  <si>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</si>
  <si>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</si>
  <si>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</si>
  <si>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</si>
  <si>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</si>
  <si>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</si>
  <si>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</si>
  <si>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</si>
  <si>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</si>
  <si>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</si>
  <si>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</si>
  <si>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</si>
  <si>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</si>
  <si>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</si>
  <si>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</si>
  <si>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</si>
  <si>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</si>
  <si>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</si>
  <si>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</si>
  <si>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</si>
  <si>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</si>
  <si>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</si>
  <si>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</si>
  <si>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</si>
  <si>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</si>
  <si>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</si>
  <si>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</si>
  <si>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</si>
  <si>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</si>
  <si>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</si>
  <si>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</si>
  <si>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</si>
  <si>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</si>
  <si>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</si>
  <si>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</si>
  <si>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</si>
  <si>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</si>
  <si>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</si>
  <si>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</si>
  <si>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</si>
  <si>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</si>
  <si>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</si>
  <si>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</si>
  <si>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</si>
  <si>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</si>
  <si>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</si>
  <si>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</si>
  <si>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</si>
  <si>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</si>
  <si>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</si>
  <si>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</si>
  <si>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</si>
  <si>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</si>
  <si>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</si>
  <si>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</si>
  <si>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</si>
  <si>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</si>
  <si>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</si>
  <si>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</si>
  <si>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</si>
  <si>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</si>
  <si>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</si>
  <si>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</si>
  <si>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</si>
  <si>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</si>
  <si>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</si>
  <si>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</si>
  <si>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</si>
  <si>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</si>
  <si>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</si>
  <si>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</si>
  <si>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</si>
  <si>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</si>
  <si>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</si>
  <si>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</si>
  <si>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</si>
  <si>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</si>
  <si>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</si>
  <si>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</si>
  <si>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</si>
  <si>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</si>
  <si>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</si>
  <si>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</si>
  <si>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</si>
  <si>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</si>
  <si>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</si>
  <si>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</si>
  <si>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</si>
  <si>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</si>
  <si>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</si>
  <si>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</si>
  <si>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</si>
  <si>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</si>
  <si>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</si>
  <si>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</si>
  <si>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</si>
  <si>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</si>
  <si>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</si>
  <si>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</si>
  <si>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</si>
  <si>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</si>
  <si>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</si>
  <si>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</si>
  <si>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</si>
  <si>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</si>
  <si>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</si>
  <si>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</si>
  <si>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</si>
  <si>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</si>
  <si>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</si>
  <si>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</si>
  <si>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</si>
  <si>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</si>
  <si>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</si>
  <si>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</si>
  <si>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</si>
  <si>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</si>
  <si>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</si>
  <si>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</si>
  <si>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</si>
  <si>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</si>
  <si>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</si>
  <si>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</si>
  <si>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</si>
  <si>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</si>
  <si>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</si>
  <si>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</si>
  <si>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</si>
  <si>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</si>
  <si>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</si>
  <si>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</si>
  <si>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</si>
  <si>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</si>
  <si>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</si>
  <si>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</si>
  <si>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</si>
  <si>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</si>
  <si>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</si>
  <si>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</si>
  <si>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</si>
  <si>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</si>
  <si>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</si>
  <si>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</si>
  <si>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</si>
  <si>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</si>
  <si>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</si>
  <si>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</si>
  <si>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</si>
  <si>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</si>
  <si>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</si>
  <si>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</si>
  <si>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</si>
  <si>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</si>
  <si>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</si>
  <si>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</si>
  <si>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</si>
  <si>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</si>
  <si>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</si>
  <si>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</si>
  <si>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</si>
  <si>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</si>
  <si>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</si>
  <si>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</si>
  <si>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</si>
  <si>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</si>
  <si>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</si>
  <si>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</si>
  <si>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</si>
  <si>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</si>
  <si>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</si>
  <si>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</si>
  <si>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</si>
  <si>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</si>
  <si>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</si>
  <si>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</si>
  <si>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</si>
  <si>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</si>
  <si>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</si>
  <si>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</si>
  <si>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</si>
  <si>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</si>
  <si>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</si>
  <si>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</si>
  <si>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</si>
  <si>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</si>
  <si>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</si>
  <si>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</si>
  <si>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</si>
  <si>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</si>
  <si>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</si>
  <si>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</si>
  <si>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</si>
  <si>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</si>
  <si>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</si>
  <si>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</si>
  <si>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</si>
  <si>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</si>
  <si>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</si>
  <si>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</si>
  <si>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</si>
  <si>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</si>
  <si>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</si>
  <si>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</si>
  <si>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</si>
  <si>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</si>
  <si>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</si>
  <si>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</si>
  <si>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</si>
  <si>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</si>
  <si>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</si>
  <si>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</si>
  <si>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</si>
  <si>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</si>
  <si>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</si>
  <si>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</si>
  <si>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</si>
  <si>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</si>
  <si>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</si>
  <si>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</si>
  <si>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</si>
  <si>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</si>
  <si>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</si>
  <si>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</si>
  <si>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</si>
  <si>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</si>
  <si>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</si>
  <si>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</si>
  <si>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</si>
  <si>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</si>
  <si>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</si>
  <si>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</si>
  <si>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</si>
  <si>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</si>
  <si>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</si>
  <si>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</si>
  <si>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</si>
  <si>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</si>
  <si>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</si>
  <si>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</si>
  <si>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</si>
  <si>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</si>
  <si>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</si>
  <si>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</si>
  <si>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</si>
  <si>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</si>
  <si>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</si>
  <si>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</si>
  <si>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</si>
  <si>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</si>
  <si>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</si>
  <si>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</si>
  <si>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</si>
  <si>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</si>
  <si>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</si>
  <si>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</si>
  <si>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</si>
  <si>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</si>
  <si>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</si>
  <si>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</si>
  <si>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</si>
  <si>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</si>
  <si>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</si>
  <si>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</si>
  <si>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</si>
  <si>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</si>
  <si>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</si>
  <si>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</si>
  <si>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</si>
  <si>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</si>
  <si>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</si>
  <si>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</si>
  <si>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</si>
  <si>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</si>
  <si>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</si>
  <si>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</si>
  <si>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</si>
  <si>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</si>
  <si>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</si>
  <si>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</si>
  <si>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</si>
  <si>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</si>
  <si>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</si>
  <si>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</si>
  <si>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</si>
  <si>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</si>
  <si>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</si>
  <si>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</si>
  <si>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</si>
  <si>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</si>
  <si>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</si>
  <si>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</si>
  <si>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</si>
  <si>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</si>
  <si>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</si>
  <si>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</si>
  <si>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</si>
  <si>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</si>
  <si>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</si>
  <si>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</si>
  <si>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</si>
  <si>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</si>
  <si>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</si>
  <si>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</si>
  <si>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</si>
  <si>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</si>
  <si>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</si>
  <si>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</si>
  <si>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</si>
  <si>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</si>
  <si>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</si>
  <si>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</si>
  <si>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</si>
  <si>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</si>
  <si>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</si>
  <si>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</si>
  <si>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</si>
  <si>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</si>
  <si>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</si>
  <si>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</si>
  <si>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</si>
  <si>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</si>
  <si>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</si>
  <si>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</si>
  <si>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</si>
  <si>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</si>
  <si>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</si>
  <si>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</si>
  <si>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</si>
  <si>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</si>
  <si>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</si>
  <si>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</si>
  <si>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</si>
  <si>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</si>
  <si>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</si>
  <si>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</si>
  <si>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</si>
  <si>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</si>
  <si>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</si>
  <si>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</si>
  <si>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</si>
  <si>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</si>
  <si>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</si>
  <si>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</si>
  <si>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</si>
  <si>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</si>
  <si>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</si>
  <si>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</si>
  <si>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</si>
  <si>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</si>
  <si>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</si>
  <si>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</si>
  <si>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</si>
  <si>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</si>
  <si>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</si>
  <si>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</si>
  <si>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</si>
  <si>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</si>
  <si>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</si>
  <si>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</si>
  <si>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</si>
  <si>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</si>
  <si>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</si>
  <si>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</si>
  <si>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</si>
  <si>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</si>
  <si>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</si>
  <si>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</si>
  <si>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</si>
  <si>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</si>
  <si>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</si>
  <si>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</si>
  <si>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</si>
  <si>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</si>
  <si>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</si>
  <si>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</si>
  <si>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</si>
  <si>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</si>
  <si>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</si>
  <si>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</si>
  <si>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</si>
  <si>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</si>
  <si>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</si>
  <si>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</si>
  <si>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</si>
  <si>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</si>
  <si>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</si>
  <si>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</si>
  <si>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</si>
  <si>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</si>
  <si>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</si>
  <si>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</si>
  <si>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</si>
  <si>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</si>
  <si>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</si>
  <si>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</si>
  <si>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</si>
  <si>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</si>
  <si>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</si>
  <si>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</si>
  <si>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</si>
  <si>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</si>
  <si>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</si>
  <si>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</si>
  <si>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</si>
  <si>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</si>
  <si>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</si>
  <si>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</si>
  <si>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</si>
  <si>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</si>
  <si>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</si>
  <si>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</si>
  <si>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</si>
  <si>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</si>
  <si>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</si>
  <si>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</si>
  <si>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</si>
  <si>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</si>
  <si>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</si>
  <si>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</si>
  <si>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</si>
  <si>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</si>
  <si>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</si>
  <si>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</si>
  <si>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</si>
  <si>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</si>
  <si>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</si>
  <si>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</si>
  <si>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</si>
  <si>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</si>
  <si>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</si>
  <si>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</si>
  <si>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</si>
  <si>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</si>
  <si>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</si>
  <si>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</si>
  <si>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</si>
  <si>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</si>
  <si>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</si>
  <si>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</si>
  <si>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</si>
  <si>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</si>
  <si>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</si>
  <si>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</si>
  <si>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</si>
  <si>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</si>
  <si>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</si>
  <si>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</si>
  <si>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</si>
  <si>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</si>
  <si>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</si>
  <si>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</si>
  <si>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</si>
  <si>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</si>
  <si>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</si>
  <si>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</si>
  <si>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</si>
  <si>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</si>
  <si>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</si>
  <si>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</si>
  <si>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</si>
  <si>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</si>
  <si>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</si>
  <si>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</si>
  <si>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</si>
  <si>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</si>
  <si>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</si>
  <si>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</si>
  <si>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</si>
  <si>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</si>
  <si>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</si>
  <si>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</si>
  <si>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</si>
  <si>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</si>
  <si>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</si>
  <si>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</si>
  <si>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</si>
  <si>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</si>
  <si>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</si>
  <si>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</si>
  <si>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</si>
  <si>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</si>
  <si>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</si>
  <si>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</si>
  <si>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</si>
  <si>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</si>
  <si>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</si>
  <si>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</si>
  <si>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</si>
  <si>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</si>
  <si>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</si>
  <si>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</si>
  <si>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</si>
  <si>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</si>
  <si>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</si>
  <si>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</si>
  <si>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</si>
  <si>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</si>
  <si>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</si>
  <si>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</si>
  <si>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</si>
  <si>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</si>
  <si>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</si>
  <si>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</si>
  <si>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</si>
  <si>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</si>
  <si>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</si>
  <si>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</si>
  <si>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</si>
  <si>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</si>
  <si>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</si>
  <si>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</si>
  <si>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</si>
  <si>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</si>
  <si>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</si>
  <si>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</si>
  <si>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</si>
  <si>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</si>
  <si>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</si>
  <si>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</si>
  <si>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</si>
  <si>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</si>
  <si>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</si>
  <si>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</si>
  <si>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</si>
  <si>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</si>
  <si>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</si>
  <si>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</si>
  <si>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</si>
  <si>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</si>
  <si>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</si>
  <si>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</si>
  <si>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</si>
  <si>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</si>
  <si>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</si>
  <si>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</si>
  <si>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</si>
  <si>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</si>
  <si>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</si>
  <si>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</si>
  <si>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</si>
  <si>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</si>
  <si>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</si>
  <si>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</si>
  <si>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</si>
  <si>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</si>
  <si>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</si>
  <si>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</si>
  <si>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</si>
  <si>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</si>
  <si>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</si>
  <si>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</si>
  <si>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</si>
  <si>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</si>
  <si>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</si>
  <si>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</si>
  <si>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</si>
  <si>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</si>
  <si>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</si>
  <si>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</si>
  <si>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</si>
  <si>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</si>
  <si>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</si>
  <si>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</si>
  <si>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</si>
  <si>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</si>
  <si>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</si>
  <si>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</si>
  <si>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</si>
  <si>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</si>
  <si>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</si>
  <si>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</si>
  <si>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</si>
  <si>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</si>
  <si>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</si>
  <si>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</si>
  <si>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</si>
  <si>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</si>
  <si>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</si>
  <si>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</si>
  <si>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</si>
  <si>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</si>
  <si>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</si>
  <si>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</si>
  <si>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</si>
  <si>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</si>
  <si>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</si>
  <si>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</si>
  <si>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</si>
  <si>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</si>
  <si>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</si>
  <si>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</si>
  <si>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</si>
  <si>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</si>
  <si>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</si>
  <si>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</si>
  <si>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</si>
  <si>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</si>
  <si>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</si>
  <si>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</si>
  <si>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</si>
  <si>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</si>
  <si>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</si>
  <si>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</si>
  <si>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</si>
  <si>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</si>
  <si>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</si>
  <si>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</si>
  <si>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</si>
  <si>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</si>
  <si>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</si>
  <si>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</si>
  <si>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</si>
  <si>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</si>
  <si>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</si>
  <si>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</si>
  <si>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</si>
  <si>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</si>
  <si>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</si>
  <si>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</si>
  <si>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</si>
  <si>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</si>
  <si>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</si>
  <si>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</si>
  <si>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</si>
  <si>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</si>
  <si>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</si>
  <si>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</si>
  <si>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</si>
  <si>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</si>
  <si>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</si>
  <si>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</si>
  <si>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</si>
  <si>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</si>
  <si>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</si>
  <si>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</si>
  <si>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</si>
  <si>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</si>
  <si>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</si>
  <si>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</si>
  <si>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</si>
  <si>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</si>
  <si>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</si>
  <si>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</si>
  <si>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</si>
  <si>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</si>
  <si>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</si>
  <si>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</si>
  <si>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</si>
  <si>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</si>
  <si>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</si>
  <si>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</si>
  <si>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</si>
  <si>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</si>
  <si>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</si>
  <si>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</si>
  <si>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</si>
  <si>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</si>
  <si>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</si>
  <si>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</si>
  <si>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</si>
  <si>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</si>
  <si>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</si>
  <si>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</si>
  <si>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</si>
  <si>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</si>
  <si>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</si>
  <si>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</si>
  <si>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</si>
  <si>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</si>
  <si>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</si>
  <si>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</si>
  <si>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</si>
  <si>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</si>
  <si>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</si>
  <si>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</si>
  <si>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</si>
  <si>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</si>
  <si>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</si>
  <si>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</si>
  <si>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</si>
  <si>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</si>
  <si>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</si>
  <si>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</si>
  <si>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</si>
  <si>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</si>
  <si>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</si>
  <si>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</si>
  <si>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</si>
  <si>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</si>
  <si>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</si>
  <si>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</si>
  <si>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</si>
  <si>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</si>
  <si>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</si>
  <si>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</si>
  <si>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</si>
  <si>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</si>
  <si>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</si>
  <si>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</si>
  <si>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</si>
  <si>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</si>
  <si>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</si>
  <si>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</si>
  <si>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</si>
  <si>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</si>
  <si>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</si>
  <si>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</si>
  <si>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</si>
  <si>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</si>
  <si>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</si>
  <si>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</si>
  <si>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</si>
  <si>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</si>
  <si>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</si>
  <si>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</si>
  <si>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</si>
  <si>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</si>
  <si>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</si>
  <si>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</si>
  <si>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</si>
  <si>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</si>
  <si>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</si>
  <si>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</si>
  <si>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</si>
  <si>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</si>
  <si>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</si>
  <si>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</si>
  <si>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</si>
  <si>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</si>
  <si>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</si>
  <si>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</si>
  <si>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</si>
  <si>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</si>
  <si>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</si>
  <si>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</si>
  <si>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</si>
  <si>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</si>
  <si>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</si>
  <si>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</si>
  <si>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</si>
  <si>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</si>
  <si>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</si>
  <si>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</si>
  <si>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</si>
  <si>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</si>
  <si>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</si>
  <si>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</si>
  <si>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</si>
  <si>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</si>
  <si>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</si>
  <si>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</si>
  <si>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</si>
  <si>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</si>
  <si>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</si>
  <si>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</si>
  <si>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</si>
  <si>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</si>
  <si>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</si>
  <si>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</si>
  <si>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</si>
  <si>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</si>
  <si>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</si>
  <si>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</si>
  <si>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</si>
  <si>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</si>
  <si>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</si>
  <si>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</si>
  <si>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</si>
  <si>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</si>
  <si>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</si>
  <si>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</si>
  <si>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</si>
  <si>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</si>
  <si>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</si>
  <si>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</si>
  <si>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</si>
  <si>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</si>
  <si>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</si>
  <si>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</si>
  <si>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</si>
  <si>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</si>
  <si>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</si>
  <si>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</si>
  <si>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</si>
  <si>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</si>
  <si>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</si>
  <si>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</si>
  <si>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</si>
  <si>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</si>
  <si>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</si>
  <si>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</si>
  <si>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</si>
  <si>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</si>
  <si>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</si>
  <si>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</si>
  <si>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</si>
  <si>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</si>
  <si>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</si>
  <si>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HOLDERNESS SCHOOL DISTRICT</t>
  </si>
  <si>
    <t>07/07</t>
  </si>
  <si>
    <t>08/17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</si>
</sst>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" fontId="4" fillId="0" borderId="0" xfId="0" applyNumberFormat="1" applyFont="1" applyProtection="1">
      <protection locked="0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zoomScale="75" workbookViewId="0">
      <pane xSplit="5" ySplit="3" topLeftCell="F463" activePane="bottomRight" state="frozen"/>
      <selection pane="topRight" activeCell="F1" sqref="F1"/>
      <selection pane="bottomLeft" activeCell="A4" sqref="A4"/>
      <selection pane="bottomRight" activeCell="F497" sqref="F497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257</v>
      </c>
      <c r="C2" s="21">
        <v>257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265902.02</v>
      </c>
      <c r="G9" s="18">
        <v>-6943.39</v>
      </c>
      <c r="H9" s="18">
        <v>-577.5</v>
      </c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>
        <v>27</v>
      </c>
      <c r="H10" s="18"/>
      <c r="I10" s="18"/>
      <c r="J10" s="67">
        <f>SUM(I439)</f>
        <v>228562.83000000002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15790.51</v>
      </c>
      <c r="G13" s="18">
        <v>6882.39</v>
      </c>
      <c r="H13" s="18">
        <v>1144.5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478</v>
      </c>
      <c r="G14" s="18">
        <v>34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282170.53000000003</v>
      </c>
      <c r="G19" s="41">
        <f>SUM(G9:G18)</f>
        <v>0</v>
      </c>
      <c r="H19" s="41">
        <f>SUM(H9:H18)</f>
        <v>567</v>
      </c>
      <c r="I19" s="41">
        <f>SUM(I9:I18)</f>
        <v>0</v>
      </c>
      <c r="J19" s="41">
        <f>SUM(J9:J18)</f>
        <v>228562.83000000002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18057.37</v>
      </c>
      <c r="G24" s="18"/>
      <c r="H24" s="18">
        <v>567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18057.37</v>
      </c>
      <c r="G32" s="41">
        <f>SUM(G22:G31)</f>
        <v>0</v>
      </c>
      <c r="H32" s="41">
        <f>SUM(H22:H31)</f>
        <v>567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154713.70000000001</v>
      </c>
      <c r="G45" s="18">
        <v>0</v>
      </c>
      <c r="H45" s="18" t="s">
        <v>287</v>
      </c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228562.83000000002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109399.46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264113.16000000003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228562.83000000002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282170.53000000003</v>
      </c>
      <c r="G51" s="41">
        <f>G50+G32</f>
        <v>0</v>
      </c>
      <c r="H51" s="41">
        <f>H50+H32</f>
        <v>567</v>
      </c>
      <c r="I51" s="41">
        <f>I50+I32</f>
        <v>0</v>
      </c>
      <c r="J51" s="41">
        <f>J50+J32</f>
        <v>228562.83000000002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3029712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3029712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26400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26400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53.08</v>
      </c>
      <c r="G95" s="18"/>
      <c r="H95" s="18"/>
      <c r="I95" s="18"/>
      <c r="J95" s="18">
        <v>200.35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38148.43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60396.55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60449.630000000005</v>
      </c>
      <c r="G110" s="41">
        <f>SUM(G95:G109)</f>
        <v>38148.43</v>
      </c>
      <c r="H110" s="41">
        <f>SUM(H95:H109)</f>
        <v>0</v>
      </c>
      <c r="I110" s="41">
        <f>SUM(I95:I109)</f>
        <v>0</v>
      </c>
      <c r="J110" s="41">
        <f>SUM(J95:J109)</f>
        <v>200.35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3116561.63</v>
      </c>
      <c r="G111" s="41">
        <f>G59+G110</f>
        <v>38148.43</v>
      </c>
      <c r="H111" s="41">
        <f>H59+H78+H93+H110</f>
        <v>0</v>
      </c>
      <c r="I111" s="41">
        <f>I59+I110</f>
        <v>0</v>
      </c>
      <c r="J111" s="41">
        <f>J59+J110</f>
        <v>200.35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/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1093455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1093455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75159.06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1017.48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75159.06</v>
      </c>
      <c r="G135" s="41">
        <f>SUM(G122:G134)</f>
        <v>1017.48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1168614.06</v>
      </c>
      <c r="G139" s="41">
        <f>G120+SUM(G135:G136)</f>
        <v>1017.48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6534.07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22970.18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35876.660000000003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v>32604.22</v>
      </c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35876.660000000003</v>
      </c>
      <c r="G161" s="41">
        <f>SUM(G149:G160)</f>
        <v>22970.18</v>
      </c>
      <c r="H161" s="41">
        <f>SUM(H149:H160)</f>
        <v>39138.29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477.88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36354.54</v>
      </c>
      <c r="G168" s="41">
        <f>G146+G161+SUM(G162:G167)</f>
        <v>22970.18</v>
      </c>
      <c r="H168" s="41">
        <f>H146+H161+SUM(H162:H167)</f>
        <v>39138.29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74700.34</v>
      </c>
      <c r="H178" s="18"/>
      <c r="I178" s="18"/>
      <c r="J178" s="18">
        <v>47500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74700.34</v>
      </c>
      <c r="H182" s="41">
        <f>SUM(H178:H181)</f>
        <v>0</v>
      </c>
      <c r="I182" s="41">
        <f>SUM(I178:I181)</f>
        <v>0</v>
      </c>
      <c r="J182" s="41">
        <f>SUM(J178:J181)</f>
        <v>47500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32500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32500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32500</v>
      </c>
      <c r="G191" s="41">
        <f>G182+SUM(G187:G190)</f>
        <v>74700.34</v>
      </c>
      <c r="H191" s="41">
        <f>+H182+SUM(H187:H190)</f>
        <v>0</v>
      </c>
      <c r="I191" s="41">
        <f>I176+I182+SUM(I187:I190)</f>
        <v>0</v>
      </c>
      <c r="J191" s="41">
        <f>J182</f>
        <v>47500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4354030.2299999995</v>
      </c>
      <c r="G192" s="47">
        <f>G111+G139+G168+G191</f>
        <v>136836.43</v>
      </c>
      <c r="H192" s="47">
        <f>H111+H139+H168+H191</f>
        <v>39138.29</v>
      </c>
      <c r="I192" s="47">
        <f>I111+I139+I168+I191</f>
        <v>0</v>
      </c>
      <c r="J192" s="47">
        <f>J111+J139+J191</f>
        <v>47700.35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1247601.6000000001</v>
      </c>
      <c r="G196" s="18">
        <v>582907.68000000005</v>
      </c>
      <c r="H196" s="18">
        <v>892.5</v>
      </c>
      <c r="I196" s="18">
        <v>46319.61</v>
      </c>
      <c r="J196" s="18">
        <v>25238.959999999999</v>
      </c>
      <c r="K196" s="18">
        <v>576</v>
      </c>
      <c r="L196" s="19">
        <f>SUM(F196:K196)</f>
        <v>1903536.3500000003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331450.15000000002</v>
      </c>
      <c r="G197" s="18">
        <v>178850.59</v>
      </c>
      <c r="H197" s="18">
        <v>59417.4</v>
      </c>
      <c r="I197" s="18">
        <v>387.81</v>
      </c>
      <c r="J197" s="18"/>
      <c r="K197" s="18"/>
      <c r="L197" s="19">
        <f>SUM(F197:K197)</f>
        <v>570105.95000000007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39301</v>
      </c>
      <c r="G199" s="18">
        <v>6533.4</v>
      </c>
      <c r="H199" s="18">
        <v>4080</v>
      </c>
      <c r="I199" s="18">
        <v>2880.73</v>
      </c>
      <c r="J199" s="18"/>
      <c r="K199" s="18">
        <v>20</v>
      </c>
      <c r="L199" s="19">
        <f>SUM(F199:K199)</f>
        <v>52815.130000000005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108276.79</v>
      </c>
      <c r="G201" s="18">
        <v>56154.53</v>
      </c>
      <c r="H201" s="18">
        <v>143905.4</v>
      </c>
      <c r="I201" s="18">
        <v>2078.13</v>
      </c>
      <c r="J201" s="18"/>
      <c r="K201" s="18">
        <v>10.4</v>
      </c>
      <c r="L201" s="19">
        <f t="shared" ref="L201:L207" si="0">SUM(F201:K201)</f>
        <v>310425.25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66946</v>
      </c>
      <c r="G202" s="18">
        <v>64551.360000000001</v>
      </c>
      <c r="H202" s="18"/>
      <c r="I202" s="18">
        <v>3038.67</v>
      </c>
      <c r="J202" s="18"/>
      <c r="K202" s="18"/>
      <c r="L202" s="19">
        <f t="shared" si="0"/>
        <v>134536.03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2600</v>
      </c>
      <c r="G203" s="18">
        <v>306.91000000000003</v>
      </c>
      <c r="H203" s="18">
        <v>210016.73</v>
      </c>
      <c r="I203" s="18">
        <v>1237.0999999999999</v>
      </c>
      <c r="J203" s="18"/>
      <c r="K203" s="18">
        <v>3370.49</v>
      </c>
      <c r="L203" s="19">
        <f t="shared" si="0"/>
        <v>217531.23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129600.56</v>
      </c>
      <c r="G204" s="18">
        <v>74979.19</v>
      </c>
      <c r="H204" s="18">
        <v>9766.66</v>
      </c>
      <c r="I204" s="18">
        <v>365.14</v>
      </c>
      <c r="J204" s="18"/>
      <c r="K204" s="18">
        <v>559.77</v>
      </c>
      <c r="L204" s="19">
        <f t="shared" si="0"/>
        <v>215271.32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>
        <v>285</v>
      </c>
      <c r="I205" s="18"/>
      <c r="J205" s="18"/>
      <c r="K205" s="18"/>
      <c r="L205" s="19">
        <f t="shared" si="0"/>
        <v>285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105353.73</v>
      </c>
      <c r="G206" s="18">
        <v>59153.06</v>
      </c>
      <c r="H206" s="18">
        <v>73236.84</v>
      </c>
      <c r="I206" s="18">
        <v>97016.45</v>
      </c>
      <c r="J206" s="18">
        <v>19338</v>
      </c>
      <c r="K206" s="18"/>
      <c r="L206" s="19">
        <f t="shared" si="0"/>
        <v>354098.07999999996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153199.67999999999</v>
      </c>
      <c r="I207" s="18"/>
      <c r="J207" s="18"/>
      <c r="K207" s="18"/>
      <c r="L207" s="19">
        <f t="shared" si="0"/>
        <v>153199.67999999999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2031129.83</v>
      </c>
      <c r="G210" s="41">
        <f t="shared" si="1"/>
        <v>1023436.7200000002</v>
      </c>
      <c r="H210" s="41">
        <f t="shared" si="1"/>
        <v>654800.21</v>
      </c>
      <c r="I210" s="41">
        <f t="shared" si="1"/>
        <v>153323.63999999998</v>
      </c>
      <c r="J210" s="41">
        <f t="shared" si="1"/>
        <v>44576.959999999999</v>
      </c>
      <c r="K210" s="41">
        <f t="shared" si="1"/>
        <v>4536.66</v>
      </c>
      <c r="L210" s="41">
        <f t="shared" si="1"/>
        <v>3911804.02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/>
      <c r="I232" s="18"/>
      <c r="J232" s="18"/>
      <c r="K232" s="18"/>
      <c r="L232" s="19">
        <f>SUM(F232:K232)</f>
        <v>0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0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2031129.83</v>
      </c>
      <c r="G256" s="41">
        <f t="shared" si="8"/>
        <v>1023436.7200000002</v>
      </c>
      <c r="H256" s="41">
        <f t="shared" si="8"/>
        <v>654800.21</v>
      </c>
      <c r="I256" s="41">
        <f t="shared" si="8"/>
        <v>153323.63999999998</v>
      </c>
      <c r="J256" s="41">
        <f t="shared" si="8"/>
        <v>44576.959999999999</v>
      </c>
      <c r="K256" s="41">
        <f t="shared" si="8"/>
        <v>4536.66</v>
      </c>
      <c r="L256" s="41">
        <f t="shared" si="8"/>
        <v>3911804.02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237107.9</v>
      </c>
      <c r="L259" s="19">
        <f>SUM(F259:K259)</f>
        <v>237107.9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50885.33</v>
      </c>
      <c r="L260" s="19">
        <f>SUM(F260:K260)</f>
        <v>50885.33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74700.34</v>
      </c>
      <c r="L262" s="19">
        <f>SUM(F262:K262)</f>
        <v>74700.34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47500</v>
      </c>
      <c r="L265" s="19">
        <f t="shared" si="9"/>
        <v>47500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410193.56999999995</v>
      </c>
      <c r="L269" s="41">
        <f t="shared" si="9"/>
        <v>410193.56999999995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2031129.83</v>
      </c>
      <c r="G270" s="42">
        <f t="shared" si="11"/>
        <v>1023436.7200000002</v>
      </c>
      <c r="H270" s="42">
        <f t="shared" si="11"/>
        <v>654800.21</v>
      </c>
      <c r="I270" s="42">
        <f t="shared" si="11"/>
        <v>153323.63999999998</v>
      </c>
      <c r="J270" s="42">
        <f t="shared" si="11"/>
        <v>44576.959999999999</v>
      </c>
      <c r="K270" s="42">
        <f t="shared" si="11"/>
        <v>414730.22999999992</v>
      </c>
      <c r="L270" s="42">
        <f t="shared" si="11"/>
        <v>4321997.59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>
        <v>9677.2199999999993</v>
      </c>
      <c r="J275" s="18">
        <v>16883.37</v>
      </c>
      <c r="K275" s="18"/>
      <c r="L275" s="19">
        <f>SUM(F275:K275)</f>
        <v>26560.589999999997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>
        <v>6733.09</v>
      </c>
      <c r="J278" s="18"/>
      <c r="K278" s="18"/>
      <c r="L278" s="19">
        <f>SUM(F278:K278)</f>
        <v>6733.09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>
        <v>329.14</v>
      </c>
      <c r="I281" s="18"/>
      <c r="J281" s="18"/>
      <c r="K281" s="18"/>
      <c r="L281" s="19">
        <f t="shared" si="12"/>
        <v>329.14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>
        <v>5515.47</v>
      </c>
      <c r="I285" s="18"/>
      <c r="J285" s="18"/>
      <c r="K285" s="18"/>
      <c r="L285" s="19">
        <f t="shared" si="12"/>
        <v>5515.47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5844.6100000000006</v>
      </c>
      <c r="I289" s="42">
        <f t="shared" si="13"/>
        <v>16410.309999999998</v>
      </c>
      <c r="J289" s="42">
        <f t="shared" si="13"/>
        <v>16883.37</v>
      </c>
      <c r="K289" s="42">
        <f t="shared" si="13"/>
        <v>0</v>
      </c>
      <c r="L289" s="41">
        <f t="shared" si="13"/>
        <v>39138.289999999994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0</v>
      </c>
      <c r="G337" s="41">
        <f t="shared" si="20"/>
        <v>0</v>
      </c>
      <c r="H337" s="41">
        <f t="shared" si="20"/>
        <v>5844.6100000000006</v>
      </c>
      <c r="I337" s="41">
        <f t="shared" si="20"/>
        <v>16410.309999999998</v>
      </c>
      <c r="J337" s="41">
        <f t="shared" si="20"/>
        <v>16883.37</v>
      </c>
      <c r="K337" s="41">
        <f t="shared" si="20"/>
        <v>0</v>
      </c>
      <c r="L337" s="41">
        <f t="shared" si="20"/>
        <v>39138.289999999994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0</v>
      </c>
      <c r="G351" s="41">
        <f>G337</f>
        <v>0</v>
      </c>
      <c r="H351" s="41">
        <f>H337</f>
        <v>5844.6100000000006</v>
      </c>
      <c r="I351" s="41">
        <f>I337</f>
        <v>16410.309999999998</v>
      </c>
      <c r="J351" s="41">
        <f>J337</f>
        <v>16883.37</v>
      </c>
      <c r="K351" s="47">
        <f>K337+K350</f>
        <v>0</v>
      </c>
      <c r="L351" s="41">
        <f>L337+L350</f>
        <v>39138.289999999994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57336.9</v>
      </c>
      <c r="G357" s="18">
        <v>29314.81</v>
      </c>
      <c r="H357" s="18"/>
      <c r="I357" s="18">
        <v>49920.18</v>
      </c>
      <c r="J357" s="18"/>
      <c r="K357" s="18">
        <v>264.54000000000002</v>
      </c>
      <c r="L357" s="13">
        <f>SUM(F357:K357)</f>
        <v>136836.43000000002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57336.9</v>
      </c>
      <c r="G361" s="47">
        <f t="shared" si="22"/>
        <v>29314.81</v>
      </c>
      <c r="H361" s="47">
        <f t="shared" si="22"/>
        <v>0</v>
      </c>
      <c r="I361" s="47">
        <f t="shared" si="22"/>
        <v>49920.18</v>
      </c>
      <c r="J361" s="47">
        <f t="shared" si="22"/>
        <v>0</v>
      </c>
      <c r="K361" s="47">
        <f t="shared" si="22"/>
        <v>264.54000000000002</v>
      </c>
      <c r="L361" s="47">
        <f t="shared" si="22"/>
        <v>136836.43000000002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43739.09</v>
      </c>
      <c r="G366" s="18"/>
      <c r="H366" s="18"/>
      <c r="I366" s="56">
        <f>SUM(F366:H366)</f>
        <v>43739.09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6181.09</v>
      </c>
      <c r="G367" s="63"/>
      <c r="H367" s="63"/>
      <c r="I367" s="56">
        <f>SUM(F367:H367)</f>
        <v>6181.09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49920.179999999993</v>
      </c>
      <c r="G368" s="47">
        <f>SUM(G366:G367)</f>
        <v>0</v>
      </c>
      <c r="H368" s="47">
        <f>SUM(H366:H367)</f>
        <v>0</v>
      </c>
      <c r="I368" s="47">
        <f>SUM(I366:I367)</f>
        <v>49920.179999999993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>
        <v>40000</v>
      </c>
      <c r="H388" s="18">
        <v>120.5</v>
      </c>
      <c r="I388" s="18"/>
      <c r="J388" s="24" t="s">
        <v>289</v>
      </c>
      <c r="K388" s="24" t="s">
        <v>289</v>
      </c>
      <c r="L388" s="56">
        <f t="shared" si="25"/>
        <v>40120.5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40000</v>
      </c>
      <c r="H392" s="139">
        <f>SUM(H386:H391)</f>
        <v>120.5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40120.5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38.99</v>
      </c>
      <c r="I396" s="18"/>
      <c r="J396" s="24" t="s">
        <v>289</v>
      </c>
      <c r="K396" s="24" t="s">
        <v>289</v>
      </c>
      <c r="L396" s="56">
        <f t="shared" si="26"/>
        <v>38.99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>
        <v>7500</v>
      </c>
      <c r="H398" s="18">
        <v>40.86</v>
      </c>
      <c r="I398" s="18"/>
      <c r="J398" s="24" t="s">
        <v>289</v>
      </c>
      <c r="K398" s="24" t="s">
        <v>289</v>
      </c>
      <c r="L398" s="56">
        <f t="shared" si="26"/>
        <v>7540.86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7500</v>
      </c>
      <c r="H400" s="47">
        <f>SUM(H394:H399)</f>
        <v>79.849999999999994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7579.8499999999995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47500</v>
      </c>
      <c r="H407" s="47">
        <f>H392+H400+H406</f>
        <v>200.35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47700.35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>
        <v>7500</v>
      </c>
      <c r="L414" s="56">
        <f t="shared" si="27"/>
        <v>7500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7500</v>
      </c>
      <c r="L418" s="47">
        <f t="shared" si="28"/>
        <v>7500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>
        <v>25000</v>
      </c>
      <c r="L424" s="56">
        <f t="shared" si="29"/>
        <v>25000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25000</v>
      </c>
      <c r="L426" s="47">
        <f t="shared" si="30"/>
        <v>25000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32500</v>
      </c>
      <c r="L433" s="47">
        <f t="shared" si="32"/>
        <v>32500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145741.04</v>
      </c>
      <c r="G439" s="18">
        <v>82821.789999999994</v>
      </c>
      <c r="H439" s="18"/>
      <c r="I439" s="56">
        <f t="shared" si="33"/>
        <v>228562.83000000002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145741.04</v>
      </c>
      <c r="G445" s="13">
        <f>SUM(G438:G444)</f>
        <v>82821.789999999994</v>
      </c>
      <c r="H445" s="13">
        <f>SUM(H438:H444)</f>
        <v>0</v>
      </c>
      <c r="I445" s="13">
        <f>SUM(I438:I444)</f>
        <v>228562.83000000002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145741.04</v>
      </c>
      <c r="G458" s="18">
        <v>82821.789999999994</v>
      </c>
      <c r="H458" s="18"/>
      <c r="I458" s="56">
        <f t="shared" si="34"/>
        <v>228562.83000000002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145741.04</v>
      </c>
      <c r="G459" s="83">
        <f>SUM(G453:G458)</f>
        <v>82821.789999999994</v>
      </c>
      <c r="H459" s="83">
        <f>SUM(H453:H458)</f>
        <v>0</v>
      </c>
      <c r="I459" s="83">
        <f>SUM(I453:I458)</f>
        <v>228562.83000000002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145741.04</v>
      </c>
      <c r="G460" s="42">
        <f>G451+G459</f>
        <v>82821.789999999994</v>
      </c>
      <c r="H460" s="42">
        <f>H451+H459</f>
        <v>0</v>
      </c>
      <c r="I460" s="42">
        <f>I451+I459</f>
        <v>228562.83000000002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232080.52</v>
      </c>
      <c r="G464" s="18">
        <v>0</v>
      </c>
      <c r="H464" s="18">
        <v>0</v>
      </c>
      <c r="I464" s="18">
        <v>0</v>
      </c>
      <c r="J464" s="18">
        <v>213362.48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4354030.2300000004</v>
      </c>
      <c r="G467" s="18">
        <v>136836.43</v>
      </c>
      <c r="H467" s="18">
        <v>39138.29</v>
      </c>
      <c r="I467" s="18"/>
      <c r="J467" s="18">
        <v>47700.35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4354030.2300000004</v>
      </c>
      <c r="G469" s="53">
        <f>SUM(G467:G468)</f>
        <v>136836.43</v>
      </c>
      <c r="H469" s="53">
        <f>SUM(H467:H468)</f>
        <v>39138.29</v>
      </c>
      <c r="I469" s="53">
        <f>SUM(I467:I468)</f>
        <v>0</v>
      </c>
      <c r="J469" s="53">
        <f>SUM(J467:J468)</f>
        <v>47700.35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4321997.59</v>
      </c>
      <c r="G471" s="18">
        <v>136836.43</v>
      </c>
      <c r="H471" s="18">
        <v>39138.29</v>
      </c>
      <c r="I471" s="18">
        <v>0</v>
      </c>
      <c r="J471" s="18">
        <v>32500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4321997.59</v>
      </c>
      <c r="G473" s="53">
        <f>SUM(G471:G472)</f>
        <v>136836.43</v>
      </c>
      <c r="H473" s="53">
        <f>SUM(H471:H472)</f>
        <v>39138.29</v>
      </c>
      <c r="I473" s="53">
        <f>SUM(I471:I472)</f>
        <v>0</v>
      </c>
      <c r="J473" s="53">
        <f>SUM(J471:J472)</f>
        <v>32500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264113.16000000015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228562.83000000002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10</v>
      </c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2371079</v>
      </c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1422647.4</v>
      </c>
      <c r="G494" s="18"/>
      <c r="H494" s="18"/>
      <c r="I494" s="18"/>
      <c r="J494" s="18"/>
      <c r="K494" s="53">
        <f>SUM(F494:J494)</f>
        <v>1422647.4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237107.9</v>
      </c>
      <c r="G496" s="18"/>
      <c r="H496" s="18"/>
      <c r="I496" s="18"/>
      <c r="J496" s="18"/>
      <c r="K496" s="53">
        <f t="shared" si="35"/>
        <v>237107.9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1185539.5</v>
      </c>
      <c r="G497" s="204"/>
      <c r="H497" s="204"/>
      <c r="I497" s="204"/>
      <c r="J497" s="204"/>
      <c r="K497" s="205">
        <f t="shared" si="35"/>
        <v>1185539.5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115590.1</v>
      </c>
      <c r="G498" s="18"/>
      <c r="H498" s="18"/>
      <c r="I498" s="18"/>
      <c r="J498" s="18"/>
      <c r="K498" s="53">
        <f t="shared" si="35"/>
        <v>115590.1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1301129.6000000001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1301129.6000000001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237107.9</v>
      </c>
      <c r="G500" s="204"/>
      <c r="H500" s="204"/>
      <c r="I500" s="204"/>
      <c r="J500" s="204"/>
      <c r="K500" s="205">
        <f t="shared" si="35"/>
        <v>237107.9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41612.44</v>
      </c>
      <c r="G501" s="18"/>
      <c r="H501" s="18"/>
      <c r="I501" s="18"/>
      <c r="J501" s="18"/>
      <c r="K501" s="53">
        <f t="shared" si="35"/>
        <v>41612.44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278720.33999999997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278720.33999999997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331450.15000000002</v>
      </c>
      <c r="G520" s="18">
        <v>178850.59</v>
      </c>
      <c r="H520" s="18">
        <v>59417.4</v>
      </c>
      <c r="I520" s="18">
        <v>387.81</v>
      </c>
      <c r="J520" s="18"/>
      <c r="K520" s="18"/>
      <c r="L520" s="88">
        <f>SUM(F520:K520)</f>
        <v>570105.95000000007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331450.15000000002</v>
      </c>
      <c r="G523" s="108">
        <f t="shared" ref="G523:L523" si="36">SUM(G520:G522)</f>
        <v>178850.59</v>
      </c>
      <c r="H523" s="108">
        <f t="shared" si="36"/>
        <v>59417.4</v>
      </c>
      <c r="I523" s="108">
        <f t="shared" si="36"/>
        <v>387.81</v>
      </c>
      <c r="J523" s="108">
        <f t="shared" si="36"/>
        <v>0</v>
      </c>
      <c r="K523" s="108">
        <f t="shared" si="36"/>
        <v>0</v>
      </c>
      <c r="L523" s="89">
        <f t="shared" si="36"/>
        <v>570105.95000000007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49301.760000000002</v>
      </c>
      <c r="G525" s="18">
        <v>29175.93</v>
      </c>
      <c r="H525" s="18">
        <v>95541.63</v>
      </c>
      <c r="I525" s="18">
        <v>1228.1199999999999</v>
      </c>
      <c r="J525" s="18">
        <v>10.4</v>
      </c>
      <c r="K525" s="18"/>
      <c r="L525" s="88">
        <f>SUM(F525:K525)</f>
        <v>175257.84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49301.760000000002</v>
      </c>
      <c r="G528" s="89">
        <f t="shared" ref="G528:L528" si="37">SUM(G525:G527)</f>
        <v>29175.93</v>
      </c>
      <c r="H528" s="89">
        <f t="shared" si="37"/>
        <v>95541.63</v>
      </c>
      <c r="I528" s="89">
        <f t="shared" si="37"/>
        <v>1228.1199999999999</v>
      </c>
      <c r="J528" s="89">
        <f t="shared" si="37"/>
        <v>10.4</v>
      </c>
      <c r="K528" s="89">
        <f t="shared" si="37"/>
        <v>0</v>
      </c>
      <c r="L528" s="89">
        <f t="shared" si="37"/>
        <v>175257.84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16414.79</v>
      </c>
      <c r="G530" s="18">
        <v>7085</v>
      </c>
      <c r="H530" s="18">
        <v>251</v>
      </c>
      <c r="I530" s="18"/>
      <c r="J530" s="18"/>
      <c r="K530" s="18"/>
      <c r="L530" s="88">
        <f>SUM(F530:K530)</f>
        <v>23750.79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16414.79</v>
      </c>
      <c r="G533" s="89">
        <f t="shared" ref="G533:L533" si="38">SUM(G530:G532)</f>
        <v>7085</v>
      </c>
      <c r="H533" s="89">
        <f t="shared" si="38"/>
        <v>251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23750.79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8060.5</v>
      </c>
      <c r="I540" s="18"/>
      <c r="J540" s="18"/>
      <c r="K540" s="18"/>
      <c r="L540" s="88">
        <f>SUM(F540:K540)</f>
        <v>8060.5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8060.5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8060.5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397166.7</v>
      </c>
      <c r="G544" s="89">
        <f t="shared" ref="G544:L544" si="41">G523+G528+G533+G538+G543</f>
        <v>215111.52</v>
      </c>
      <c r="H544" s="89">
        <f t="shared" si="41"/>
        <v>163270.53</v>
      </c>
      <c r="I544" s="89">
        <f t="shared" si="41"/>
        <v>1615.9299999999998</v>
      </c>
      <c r="J544" s="89">
        <f t="shared" si="41"/>
        <v>10.4</v>
      </c>
      <c r="K544" s="89">
        <f t="shared" si="41"/>
        <v>0</v>
      </c>
      <c r="L544" s="89">
        <f t="shared" si="41"/>
        <v>777175.08000000007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570105.95000000007</v>
      </c>
      <c r="G548" s="87">
        <f>L525</f>
        <v>175257.84</v>
      </c>
      <c r="H548" s="87">
        <f>L530</f>
        <v>23750.79</v>
      </c>
      <c r="I548" s="87">
        <f>L535</f>
        <v>0</v>
      </c>
      <c r="J548" s="87">
        <f>L540</f>
        <v>8060.5</v>
      </c>
      <c r="K548" s="87">
        <f>SUM(F548:J548)</f>
        <v>777175.08000000007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570105.95000000007</v>
      </c>
      <c r="G551" s="89">
        <f t="shared" si="42"/>
        <v>175257.84</v>
      </c>
      <c r="H551" s="89">
        <f t="shared" si="42"/>
        <v>23750.79</v>
      </c>
      <c r="I551" s="89">
        <f t="shared" si="42"/>
        <v>0</v>
      </c>
      <c r="J551" s="89">
        <f t="shared" si="42"/>
        <v>8060.5</v>
      </c>
      <c r="K551" s="89">
        <f t="shared" si="42"/>
        <v>777175.08000000007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v>7020</v>
      </c>
      <c r="G566" s="18">
        <v>537.04</v>
      </c>
      <c r="H566" s="18">
        <v>1755</v>
      </c>
      <c r="I566" s="18"/>
      <c r="J566" s="18"/>
      <c r="K566" s="18"/>
      <c r="L566" s="88">
        <f>SUM(F566:K566)</f>
        <v>9312.0400000000009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7020</v>
      </c>
      <c r="G569" s="193">
        <f t="shared" ref="G569:L569" si="45">SUM(G566:G568)</f>
        <v>537.04</v>
      </c>
      <c r="H569" s="193">
        <f t="shared" si="45"/>
        <v>1755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9312.0400000000009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7020</v>
      </c>
      <c r="G570" s="89">
        <f t="shared" ref="G570:L570" si="46">G559+G564+G569</f>
        <v>537.04</v>
      </c>
      <c r="H570" s="89">
        <f t="shared" si="46"/>
        <v>1755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9312.0400000000009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46313.32</v>
      </c>
      <c r="G578" s="18"/>
      <c r="H578" s="18"/>
      <c r="I578" s="87">
        <f t="shared" si="47"/>
        <v>46313.32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5322.22</v>
      </c>
      <c r="G581" s="18"/>
      <c r="H581" s="18"/>
      <c r="I581" s="87">
        <f t="shared" si="47"/>
        <v>5322.22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129953.18</v>
      </c>
      <c r="I590" s="18"/>
      <c r="J590" s="18"/>
      <c r="K590" s="104">
        <f t="shared" ref="K590:K596" si="48">SUM(H590:J590)</f>
        <v>129953.18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8060.5</v>
      </c>
      <c r="I591" s="18"/>
      <c r="J591" s="18"/>
      <c r="K591" s="104">
        <f t="shared" si="48"/>
        <v>8060.5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5845</v>
      </c>
      <c r="I593" s="18"/>
      <c r="J593" s="18"/>
      <c r="K593" s="104">
        <f t="shared" si="48"/>
        <v>5845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9341</v>
      </c>
      <c r="I594" s="18"/>
      <c r="J594" s="18"/>
      <c r="K594" s="104">
        <f t="shared" si="48"/>
        <v>9341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153199.67999999999</v>
      </c>
      <c r="I597" s="108">
        <f>SUM(I590:I596)</f>
        <v>0</v>
      </c>
      <c r="J597" s="108">
        <f>SUM(J590:J596)</f>
        <v>0</v>
      </c>
      <c r="K597" s="108">
        <f>SUM(K590:K596)</f>
        <v>153199.67999999999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61460.33</v>
      </c>
      <c r="I603" s="18"/>
      <c r="J603" s="18"/>
      <c r="K603" s="104">
        <f>SUM(H603:J603)</f>
        <v>61460.33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61460.33</v>
      </c>
      <c r="I604" s="108">
        <f>SUM(I601:I603)</f>
        <v>0</v>
      </c>
      <c r="J604" s="108">
        <f>SUM(J601:J603)</f>
        <v>0</v>
      </c>
      <c r="K604" s="108">
        <f>SUM(K601:K603)</f>
        <v>61460.33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282170.53000000003</v>
      </c>
      <c r="H616" s="109">
        <f>SUM(F51)</f>
        <v>282170.53000000003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0</v>
      </c>
      <c r="H617" s="109">
        <f>SUM(G51)</f>
        <v>0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567</v>
      </c>
      <c r="H618" s="109">
        <f>SUM(H51)</f>
        <v>567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228562.83000000002</v>
      </c>
      <c r="H620" s="109">
        <f>SUM(J51)</f>
        <v>228562.83000000002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264113.16000000003</v>
      </c>
      <c r="H621" s="109">
        <f>F475</f>
        <v>264113.16000000015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228562.83000000002</v>
      </c>
      <c r="H625" s="109">
        <f>J475</f>
        <v>228562.83000000002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4354030.2299999995</v>
      </c>
      <c r="H626" s="104">
        <f>SUM(F467)</f>
        <v>4354030.2300000004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136836.43</v>
      </c>
      <c r="H627" s="104">
        <f>SUM(G467)</f>
        <v>136836.43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39138.29</v>
      </c>
      <c r="H628" s="104">
        <f>SUM(H467)</f>
        <v>39138.29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47700.35</v>
      </c>
      <c r="H630" s="104">
        <f>SUM(J467)</f>
        <v>47700.35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4321997.59</v>
      </c>
      <c r="H631" s="104">
        <f>SUM(F471)</f>
        <v>4321997.59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39138.289999999994</v>
      </c>
      <c r="H632" s="104">
        <f>SUM(H471)</f>
        <v>39138.29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49920.18</v>
      </c>
      <c r="H633" s="104">
        <f>I368</f>
        <v>49920.179999999993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136836.43000000002</v>
      </c>
      <c r="H634" s="104">
        <f>SUM(G471)</f>
        <v>136836.43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47700.35</v>
      </c>
      <c r="H636" s="164">
        <f>SUM(J467)</f>
        <v>47700.35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32500</v>
      </c>
      <c r="H637" s="164">
        <f>SUM(J471)</f>
        <v>32500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145741.04</v>
      </c>
      <c r="H638" s="104">
        <f>SUM(F460)</f>
        <v>145741.04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82821.789999999994</v>
      </c>
      <c r="H639" s="104">
        <f>SUM(G460)</f>
        <v>82821.789999999994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228562.83000000002</v>
      </c>
      <c r="H641" s="104">
        <f>SUM(I460)</f>
        <v>228562.83000000002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200.35</v>
      </c>
      <c r="H643" s="104">
        <f>H407</f>
        <v>200.35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47500</v>
      </c>
      <c r="H644" s="104">
        <f>G407</f>
        <v>47500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47700.35</v>
      </c>
      <c r="H645" s="104">
        <f>L407</f>
        <v>47700.35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153199.67999999999</v>
      </c>
      <c r="H646" s="104">
        <f>L207+L225+L243</f>
        <v>153199.67999999999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61460.33</v>
      </c>
      <c r="H647" s="104">
        <f>(J256+J337)-(J254+J335)</f>
        <v>61460.33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153199.67999999999</v>
      </c>
      <c r="H648" s="104">
        <f>H597</f>
        <v>153199.67999999999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74700.34</v>
      </c>
      <c r="H651" s="104">
        <f>K262+K344</f>
        <v>74700.34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47500</v>
      </c>
      <c r="H654" s="104">
        <f>K265+K346</f>
        <v>47500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4087778.74</v>
      </c>
      <c r="G659" s="19">
        <f>(L228+L308+L358)</f>
        <v>0</v>
      </c>
      <c r="H659" s="19">
        <f>(L246+L327+L359)</f>
        <v>0</v>
      </c>
      <c r="I659" s="19">
        <f>SUM(F659:H659)</f>
        <v>4087778.74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38148.43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38148.43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153199.67999999999</v>
      </c>
      <c r="G661" s="19">
        <f>(L225+L305)-(J225+J305)</f>
        <v>0</v>
      </c>
      <c r="H661" s="19">
        <f>(L243+L324)-(J243+J324)</f>
        <v>0</v>
      </c>
      <c r="I661" s="19">
        <f>SUM(F661:H661)</f>
        <v>153199.67999999999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113095.87</v>
      </c>
      <c r="G662" s="199">
        <f>SUM(G574:G586)+SUM(I601:I603)+L611</f>
        <v>0</v>
      </c>
      <c r="H662" s="199">
        <f>SUM(H574:H586)+SUM(J601:J603)+L612</f>
        <v>0</v>
      </c>
      <c r="I662" s="19">
        <f>SUM(F662:H662)</f>
        <v>113095.87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3783334.7600000002</v>
      </c>
      <c r="G663" s="19">
        <f>G659-SUM(G660:G662)</f>
        <v>0</v>
      </c>
      <c r="H663" s="19">
        <f>H659-SUM(H660:H662)</f>
        <v>0</v>
      </c>
      <c r="I663" s="19">
        <f>I659-SUM(I660:I662)</f>
        <v>3783334.7600000002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202.76</v>
      </c>
      <c r="G664" s="248"/>
      <c r="H664" s="248"/>
      <c r="I664" s="19">
        <f>SUM(F664:H664)</f>
        <v>202.76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18659.18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18659.18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18659.18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18659.18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abSelected="1" workbookViewId="0"/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HOLDERNESS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1247601.6000000001</v>
      </c>
      <c r="C9" s="229">
        <f>'DOE25'!G196+'DOE25'!G214+'DOE25'!G232+'DOE25'!G275+'DOE25'!G294+'DOE25'!G313</f>
        <v>582907.68000000005</v>
      </c>
    </row>
    <row r="10" spans="1:3" x14ac:dyDescent="0.2">
      <c r="A10" t="s">
        <v>779</v>
      </c>
      <c r="B10" s="240">
        <v>1177528.6000000001</v>
      </c>
      <c r="C10" s="240">
        <v>554703.12</v>
      </c>
    </row>
    <row r="11" spans="1:3" x14ac:dyDescent="0.2">
      <c r="A11" t="s">
        <v>780</v>
      </c>
      <c r="B11" s="240">
        <v>42056.88</v>
      </c>
      <c r="C11" s="240">
        <v>25421.66</v>
      </c>
    </row>
    <row r="12" spans="1:3" x14ac:dyDescent="0.2">
      <c r="A12" t="s">
        <v>781</v>
      </c>
      <c r="B12" s="240">
        <v>28016.12</v>
      </c>
      <c r="C12" s="240">
        <v>2782.9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1247601.6000000001</v>
      </c>
      <c r="C13" s="231">
        <f>SUM(C10:C12)</f>
        <v>582907.68000000005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331450.15000000002</v>
      </c>
      <c r="C18" s="229">
        <f>'DOE25'!G197+'DOE25'!G215+'DOE25'!G233+'DOE25'!G276+'DOE25'!G295+'DOE25'!G314</f>
        <v>178850.59</v>
      </c>
    </row>
    <row r="19" spans="1:3" x14ac:dyDescent="0.2">
      <c r="A19" t="s">
        <v>779</v>
      </c>
      <c r="B19" s="301">
        <v>196010.1</v>
      </c>
      <c r="C19" s="301">
        <v>110113.9</v>
      </c>
    </row>
    <row r="20" spans="1:3" x14ac:dyDescent="0.2">
      <c r="A20" t="s">
        <v>780</v>
      </c>
      <c r="B20" s="301">
        <v>123815.05</v>
      </c>
      <c r="C20" s="301">
        <v>67661.06</v>
      </c>
    </row>
    <row r="21" spans="1:3" x14ac:dyDescent="0.2">
      <c r="A21" t="s">
        <v>781</v>
      </c>
      <c r="B21" s="301">
        <v>11625</v>
      </c>
      <c r="C21" s="301">
        <v>1075.6300000000001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331450.15000000002</v>
      </c>
      <c r="C22" s="231">
        <f>SUM(C19:C21)</f>
        <v>178850.59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39301</v>
      </c>
      <c r="C36" s="235">
        <f>'DOE25'!G199+'DOE25'!G217+'DOE25'!G235+'DOE25'!G278+'DOE25'!G297+'DOE25'!G316</f>
        <v>6533.4</v>
      </c>
    </row>
    <row r="37" spans="1:3" x14ac:dyDescent="0.2">
      <c r="A37" t="s">
        <v>779</v>
      </c>
      <c r="B37" s="240">
        <v>39301</v>
      </c>
      <c r="C37" s="240">
        <v>6533.4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39301</v>
      </c>
      <c r="C40" s="231">
        <f>SUM(C37:C39)</f>
        <v>6533.4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HOLDERNESS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2526457.4300000002</v>
      </c>
      <c r="D5" s="20">
        <f>SUM('DOE25'!L196:L199)+SUM('DOE25'!L214:L217)+SUM('DOE25'!L232:L235)-F5-G5</f>
        <v>2500622.4700000002</v>
      </c>
      <c r="E5" s="243"/>
      <c r="F5" s="255">
        <f>SUM('DOE25'!J196:J199)+SUM('DOE25'!J214:J217)+SUM('DOE25'!J232:J235)</f>
        <v>25238.959999999999</v>
      </c>
      <c r="G5" s="53">
        <f>SUM('DOE25'!K196:K199)+SUM('DOE25'!K214:K217)+SUM('DOE25'!K232:K235)</f>
        <v>596</v>
      </c>
      <c r="H5" s="259"/>
    </row>
    <row r="6" spans="1:9" x14ac:dyDescent="0.2">
      <c r="A6" s="32">
        <v>2100</v>
      </c>
      <c r="B6" t="s">
        <v>801</v>
      </c>
      <c r="C6" s="245">
        <f t="shared" si="0"/>
        <v>310425.25</v>
      </c>
      <c r="D6" s="20">
        <f>'DOE25'!L201+'DOE25'!L219+'DOE25'!L237-F6-G6</f>
        <v>310414.84999999998</v>
      </c>
      <c r="E6" s="243"/>
      <c r="F6" s="255">
        <f>'DOE25'!J201+'DOE25'!J219+'DOE25'!J237</f>
        <v>0</v>
      </c>
      <c r="G6" s="53">
        <f>'DOE25'!K201+'DOE25'!K219+'DOE25'!K237</f>
        <v>10.4</v>
      </c>
      <c r="H6" s="259"/>
    </row>
    <row r="7" spans="1:9" x14ac:dyDescent="0.2">
      <c r="A7" s="32">
        <v>2200</v>
      </c>
      <c r="B7" t="s">
        <v>834</v>
      </c>
      <c r="C7" s="245">
        <f t="shared" si="0"/>
        <v>134536.03</v>
      </c>
      <c r="D7" s="20">
        <f>'DOE25'!L202+'DOE25'!L220+'DOE25'!L238-F7-G7</f>
        <v>134536.03</v>
      </c>
      <c r="E7" s="243"/>
      <c r="F7" s="255">
        <f>'DOE25'!J202+'DOE25'!J220+'DOE25'!J238</f>
        <v>0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122301.31000000003</v>
      </c>
      <c r="D8" s="243"/>
      <c r="E8" s="20">
        <f>'DOE25'!L203+'DOE25'!L221+'DOE25'!L239-F8-G8-D9-D11</f>
        <v>118930.82000000002</v>
      </c>
      <c r="F8" s="255">
        <f>'DOE25'!J203+'DOE25'!J221+'DOE25'!J239</f>
        <v>0</v>
      </c>
      <c r="G8" s="53">
        <f>'DOE25'!K203+'DOE25'!K221+'DOE25'!K239</f>
        <v>3370.49</v>
      </c>
      <c r="H8" s="259"/>
    </row>
    <row r="9" spans="1:9" x14ac:dyDescent="0.2">
      <c r="A9" s="32">
        <v>2310</v>
      </c>
      <c r="B9" t="s">
        <v>818</v>
      </c>
      <c r="C9" s="245">
        <f t="shared" si="0"/>
        <v>14312.19</v>
      </c>
      <c r="D9" s="244">
        <v>14312.19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4000</v>
      </c>
      <c r="D10" s="243"/>
      <c r="E10" s="244">
        <v>4000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80917.73</v>
      </c>
      <c r="D11" s="244">
        <v>80917.73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215271.32</v>
      </c>
      <c r="D12" s="20">
        <f>'DOE25'!L204+'DOE25'!L222+'DOE25'!L240-F12-G12</f>
        <v>214711.55000000002</v>
      </c>
      <c r="E12" s="243"/>
      <c r="F12" s="255">
        <f>'DOE25'!J204+'DOE25'!J222+'DOE25'!J240</f>
        <v>0</v>
      </c>
      <c r="G12" s="53">
        <f>'DOE25'!K204+'DOE25'!K222+'DOE25'!K240</f>
        <v>559.77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285</v>
      </c>
      <c r="D13" s="243"/>
      <c r="E13" s="20">
        <f>'DOE25'!L205+'DOE25'!L223+'DOE25'!L241-F13-G13</f>
        <v>285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354098.07999999996</v>
      </c>
      <c r="D14" s="20">
        <f>'DOE25'!L206+'DOE25'!L224+'DOE25'!L242-F14-G14</f>
        <v>334760.07999999996</v>
      </c>
      <c r="E14" s="243"/>
      <c r="F14" s="255">
        <f>'DOE25'!J206+'DOE25'!J224+'DOE25'!J242</f>
        <v>19338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153199.67999999999</v>
      </c>
      <c r="D15" s="20">
        <f>'DOE25'!L207+'DOE25'!L225+'DOE25'!L243-F15-G15</f>
        <v>153199.67999999999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287993.23</v>
      </c>
      <c r="D25" s="243"/>
      <c r="E25" s="243"/>
      <c r="F25" s="258"/>
      <c r="G25" s="256"/>
      <c r="H25" s="257">
        <f>'DOE25'!L259+'DOE25'!L260+'DOE25'!L340+'DOE25'!L341</f>
        <v>287993.23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93097.340000000026</v>
      </c>
      <c r="D29" s="20">
        <f>'DOE25'!L357+'DOE25'!L358+'DOE25'!L359-'DOE25'!I366-F29-G29</f>
        <v>92832.800000000032</v>
      </c>
      <c r="E29" s="243"/>
      <c r="F29" s="255">
        <f>'DOE25'!J357+'DOE25'!J358+'DOE25'!J359</f>
        <v>0</v>
      </c>
      <c r="G29" s="53">
        <f>'DOE25'!K357+'DOE25'!K358+'DOE25'!K359</f>
        <v>264.54000000000002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39138.289999999994</v>
      </c>
      <c r="D31" s="20">
        <f>'DOE25'!L289+'DOE25'!L308+'DOE25'!L327+'DOE25'!L332+'DOE25'!L333+'DOE25'!L334-F31-G31</f>
        <v>22254.919999999995</v>
      </c>
      <c r="E31" s="243"/>
      <c r="F31" s="255">
        <f>'DOE25'!J289+'DOE25'!J308+'DOE25'!J327+'DOE25'!J332+'DOE25'!J333+'DOE25'!J334</f>
        <v>16883.37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3858562.3</v>
      </c>
      <c r="E33" s="246">
        <f>SUM(E5:E31)</f>
        <v>123215.82000000002</v>
      </c>
      <c r="F33" s="246">
        <f>SUM(F5:F31)</f>
        <v>61460.33</v>
      </c>
      <c r="G33" s="246">
        <f>SUM(G5:G31)</f>
        <v>4801.2</v>
      </c>
      <c r="H33" s="246">
        <f>SUM(H5:H31)</f>
        <v>287993.23</v>
      </c>
    </row>
    <row r="35" spans="2:8" ht="12" thickBot="1" x14ac:dyDescent="0.25">
      <c r="B35" s="253" t="s">
        <v>847</v>
      </c>
      <c r="D35" s="254">
        <f>E33</f>
        <v>123215.82000000002</v>
      </c>
      <c r="E35" s="249"/>
    </row>
    <row r="36" spans="2:8" ht="12" thickTop="1" x14ac:dyDescent="0.2">
      <c r="B36" t="s">
        <v>815</v>
      </c>
      <c r="D36" s="20">
        <f>D33</f>
        <v>3858562.3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HOLDERNESS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265902.02</v>
      </c>
      <c r="D8" s="95">
        <f>'DOE25'!G9</f>
        <v>-6943.39</v>
      </c>
      <c r="E8" s="95">
        <f>'DOE25'!H9</f>
        <v>-577.5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27</v>
      </c>
      <c r="E9" s="95">
        <f>'DOE25'!H10</f>
        <v>0</v>
      </c>
      <c r="F9" s="95">
        <f>'DOE25'!I10</f>
        <v>0</v>
      </c>
      <c r="G9" s="95">
        <f>'DOE25'!J10</f>
        <v>228562.83000000002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15790.51</v>
      </c>
      <c r="D12" s="95">
        <f>'DOE25'!G13</f>
        <v>6882.39</v>
      </c>
      <c r="E12" s="95">
        <f>'DOE25'!H13</f>
        <v>1144.5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478</v>
      </c>
      <c r="D13" s="95">
        <f>'DOE25'!G14</f>
        <v>34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282170.53000000003</v>
      </c>
      <c r="D18" s="41">
        <f>SUM(D8:D17)</f>
        <v>0</v>
      </c>
      <c r="E18" s="41">
        <f>SUM(E8:E17)</f>
        <v>567</v>
      </c>
      <c r="F18" s="41">
        <f>SUM(F8:F17)</f>
        <v>0</v>
      </c>
      <c r="G18" s="41">
        <f>SUM(G8:G17)</f>
        <v>228562.83000000002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18057.37</v>
      </c>
      <c r="D23" s="95">
        <f>'DOE25'!G24</f>
        <v>0</v>
      </c>
      <c r="E23" s="95">
        <f>'DOE25'!H24</f>
        <v>567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18057.37</v>
      </c>
      <c r="D31" s="41">
        <f>SUM(D21:D30)</f>
        <v>0</v>
      </c>
      <c r="E31" s="41">
        <f>SUM(E21:E30)</f>
        <v>567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154713.70000000001</v>
      </c>
      <c r="D44" s="95">
        <f>'DOE25'!G45</f>
        <v>0</v>
      </c>
      <c r="E44" s="95" t="str">
        <f>'DOE25'!H45</f>
        <v xml:space="preserve"> 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228562.83000000002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109399.46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264113.16000000003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228562.83000000002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282170.53000000003</v>
      </c>
      <c r="D50" s="41">
        <f>D49+D31</f>
        <v>0</v>
      </c>
      <c r="E50" s="41">
        <f>E49+E31</f>
        <v>567</v>
      </c>
      <c r="F50" s="41">
        <f>F49+F31</f>
        <v>0</v>
      </c>
      <c r="G50" s="41">
        <f>G49+G31</f>
        <v>228562.83000000002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3029712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26400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53.08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200.35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38148.43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60396.55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86849.63</v>
      </c>
      <c r="D61" s="130">
        <f>SUM(D56:D60)</f>
        <v>38148.43</v>
      </c>
      <c r="E61" s="130">
        <f>SUM(E56:E60)</f>
        <v>0</v>
      </c>
      <c r="F61" s="130">
        <f>SUM(F56:F60)</f>
        <v>0</v>
      </c>
      <c r="G61" s="130">
        <f>SUM(G56:G60)</f>
        <v>200.35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3116561.63</v>
      </c>
      <c r="D62" s="22">
        <f>D55+D61</f>
        <v>38148.43</v>
      </c>
      <c r="E62" s="22">
        <f>E55+E61</f>
        <v>0</v>
      </c>
      <c r="F62" s="22">
        <f>F55+F61</f>
        <v>0</v>
      </c>
      <c r="G62" s="22">
        <f>G55+G61</f>
        <v>200.35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1093455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1093455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75159.06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1017.48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75159.06</v>
      </c>
      <c r="D77" s="130">
        <f>SUM(D71:D76)</f>
        <v>1017.48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1168614.06</v>
      </c>
      <c r="D80" s="130">
        <f>SUM(D78:D79)+D77+D69</f>
        <v>1017.48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35876.660000000003</v>
      </c>
      <c r="D87" s="95">
        <f>SUM('DOE25'!G152:G160)</f>
        <v>22970.18</v>
      </c>
      <c r="E87" s="95">
        <f>SUM('DOE25'!H152:H160)</f>
        <v>39138.29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477.88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36354.54</v>
      </c>
      <c r="D90" s="131">
        <f>SUM(D84:D89)</f>
        <v>22970.18</v>
      </c>
      <c r="E90" s="131">
        <f>SUM(E84:E89)</f>
        <v>39138.29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74700.34</v>
      </c>
      <c r="E95" s="95">
        <f>'DOE25'!H178</f>
        <v>0</v>
      </c>
      <c r="F95" s="95">
        <f>'DOE25'!I178</f>
        <v>0</v>
      </c>
      <c r="G95" s="95">
        <f>'DOE25'!J178</f>
        <v>47500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32500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32500</v>
      </c>
      <c r="D102" s="86">
        <f>SUM(D92:D101)</f>
        <v>74700.34</v>
      </c>
      <c r="E102" s="86">
        <f>SUM(E92:E101)</f>
        <v>0</v>
      </c>
      <c r="F102" s="86">
        <f>SUM(F92:F101)</f>
        <v>0</v>
      </c>
      <c r="G102" s="86">
        <f>SUM(G92:G101)</f>
        <v>47500</v>
      </c>
    </row>
    <row r="103" spans="1:7" ht="12.75" thickTop="1" thickBot="1" x14ac:dyDescent="0.25">
      <c r="A103" s="33" t="s">
        <v>765</v>
      </c>
      <c r="C103" s="86">
        <f>C62+C80+C90+C102</f>
        <v>4354030.2299999995</v>
      </c>
      <c r="D103" s="86">
        <f>D62+D80+D90+D102</f>
        <v>136836.43</v>
      </c>
      <c r="E103" s="86">
        <f>E62+E80+E90+E102</f>
        <v>39138.29</v>
      </c>
      <c r="F103" s="86">
        <f>F62+F80+F90+F102</f>
        <v>0</v>
      </c>
      <c r="G103" s="86">
        <f>G62+G80+G102</f>
        <v>47700.35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1903536.3500000003</v>
      </c>
      <c r="D108" s="24" t="s">
        <v>289</v>
      </c>
      <c r="E108" s="95">
        <f>('DOE25'!L275)+('DOE25'!L294)+('DOE25'!L313)</f>
        <v>26560.589999999997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570105.95000000007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52815.130000000005</v>
      </c>
      <c r="D111" s="24" t="s">
        <v>289</v>
      </c>
      <c r="E111" s="95">
        <f>+('DOE25'!L278)+('DOE25'!L297)+('DOE25'!L316)</f>
        <v>6733.09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2526457.4300000002</v>
      </c>
      <c r="D114" s="86">
        <f>SUM(D108:D113)</f>
        <v>0</v>
      </c>
      <c r="E114" s="86">
        <f>SUM(E108:E113)</f>
        <v>33293.679999999993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310425.25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134536.03</v>
      </c>
      <c r="D118" s="24" t="s">
        <v>289</v>
      </c>
      <c r="E118" s="95">
        <f>+('DOE25'!L281)+('DOE25'!L300)+('DOE25'!L319)</f>
        <v>329.14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217531.23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215271.32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285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354098.07999999996</v>
      </c>
      <c r="D122" s="24" t="s">
        <v>289</v>
      </c>
      <c r="E122" s="95">
        <f>+('DOE25'!L285)+('DOE25'!L304)+('DOE25'!L323)</f>
        <v>5515.47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153199.67999999999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136836.43000000002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1385346.59</v>
      </c>
      <c r="D127" s="86">
        <f>SUM(D117:D126)</f>
        <v>136836.43000000002</v>
      </c>
      <c r="E127" s="86">
        <f>SUM(E117:E126)</f>
        <v>5844.6100000000006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237107.9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50885.33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32500</v>
      </c>
    </row>
    <row r="134" spans="1:7" x14ac:dyDescent="0.2">
      <c r="A134" t="s">
        <v>233</v>
      </c>
      <c r="B134" s="32" t="s">
        <v>234</v>
      </c>
      <c r="C134" s="95">
        <f>'DOE25'!L262</f>
        <v>74700.34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40120.5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7579.8499999999995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-200.34999999999854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410193.56999999995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32500</v>
      </c>
    </row>
    <row r="144" spans="1:7" ht="12.75" thickTop="1" thickBot="1" x14ac:dyDescent="0.25">
      <c r="A144" s="33" t="s">
        <v>244</v>
      </c>
      <c r="C144" s="86">
        <f>(C114+C127+C143)</f>
        <v>4321997.5900000008</v>
      </c>
      <c r="D144" s="86">
        <f>(D114+D127+D143)</f>
        <v>136836.43000000002</v>
      </c>
      <c r="E144" s="86">
        <f>(E114+E127+E143)</f>
        <v>39138.289999999994</v>
      </c>
      <c r="F144" s="86">
        <f>(F114+F127+F143)</f>
        <v>0</v>
      </c>
      <c r="G144" s="86">
        <f>(G114+G127+G143)</f>
        <v>32500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07/07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08/17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2371079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1422647.4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1422647.4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237107.9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237107.9</v>
      </c>
    </row>
    <row r="158" spans="1:9" x14ac:dyDescent="0.2">
      <c r="A158" s="22" t="s">
        <v>35</v>
      </c>
      <c r="B158" s="137">
        <f>'DOE25'!F497</f>
        <v>1185539.5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1185539.5</v>
      </c>
    </row>
    <row r="159" spans="1:9" x14ac:dyDescent="0.2">
      <c r="A159" s="22" t="s">
        <v>36</v>
      </c>
      <c r="B159" s="137">
        <f>'DOE25'!F498</f>
        <v>115590.1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115590.1</v>
      </c>
    </row>
    <row r="160" spans="1:9" x14ac:dyDescent="0.2">
      <c r="A160" s="22" t="s">
        <v>37</v>
      </c>
      <c r="B160" s="137">
        <f>'DOE25'!F499</f>
        <v>1301129.6000000001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1301129.6000000001</v>
      </c>
    </row>
    <row r="161" spans="1:7" x14ac:dyDescent="0.2">
      <c r="A161" s="22" t="s">
        <v>38</v>
      </c>
      <c r="B161" s="137">
        <f>'DOE25'!F500</f>
        <v>237107.9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237107.9</v>
      </c>
    </row>
    <row r="162" spans="1:7" x14ac:dyDescent="0.2">
      <c r="A162" s="22" t="s">
        <v>39</v>
      </c>
      <c r="B162" s="137">
        <f>'DOE25'!F501</f>
        <v>41612.44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41612.44</v>
      </c>
    </row>
    <row r="163" spans="1:7" x14ac:dyDescent="0.2">
      <c r="A163" s="22" t="s">
        <v>246</v>
      </c>
      <c r="B163" s="137">
        <f>'DOE25'!F502</f>
        <v>278720.33999999997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278720.33999999997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HOLDERNESS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18659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18659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1930097</v>
      </c>
      <c r="D10" s="182">
        <f>ROUND((C10/$C$28)*100,1)</f>
        <v>47.1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570106</v>
      </c>
      <c r="D11" s="182">
        <f>ROUND((C11/$C$28)*100,1)</f>
        <v>13.9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59548</v>
      </c>
      <c r="D13" s="182">
        <f>ROUND((C13/$C$28)*100,1)</f>
        <v>1.5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310425</v>
      </c>
      <c r="D15" s="182">
        <f t="shared" ref="D15:D27" si="0">ROUND((C15/$C$28)*100,1)</f>
        <v>7.6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134865</v>
      </c>
      <c r="D16" s="182">
        <f t="shared" si="0"/>
        <v>3.3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217531</v>
      </c>
      <c r="D17" s="182">
        <f t="shared" si="0"/>
        <v>5.3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215271</v>
      </c>
      <c r="D18" s="182">
        <f t="shared" si="0"/>
        <v>5.2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285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359614</v>
      </c>
      <c r="D20" s="182">
        <f t="shared" si="0"/>
        <v>8.8000000000000007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153200</v>
      </c>
      <c r="D21" s="182">
        <f t="shared" si="0"/>
        <v>3.7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50885</v>
      </c>
      <c r="D25" s="182">
        <f t="shared" si="0"/>
        <v>1.2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98687.57</v>
      </c>
      <c r="D27" s="182">
        <f t="shared" si="0"/>
        <v>2.4</v>
      </c>
    </row>
    <row r="28" spans="1:4" x14ac:dyDescent="0.2">
      <c r="B28" s="187" t="s">
        <v>723</v>
      </c>
      <c r="C28" s="180">
        <f>SUM(C10:C27)</f>
        <v>4100514.57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4100514.57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237108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3029712</v>
      </c>
      <c r="D35" s="182">
        <f t="shared" ref="D35:D40" si="1">ROUND((C35/$C$41)*100,1)</f>
        <v>69.099999999999994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87049.979999999981</v>
      </c>
      <c r="D36" s="182">
        <f t="shared" si="1"/>
        <v>2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1093455</v>
      </c>
      <c r="D37" s="182">
        <f t="shared" si="1"/>
        <v>24.9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76177</v>
      </c>
      <c r="D38" s="182">
        <f t="shared" si="1"/>
        <v>1.7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98463</v>
      </c>
      <c r="D39" s="182">
        <f t="shared" si="1"/>
        <v>2.2000000000000002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4384856.9800000004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HOLDERNESS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2013-10-10T14:16:08Z</cp:lastPrinted>
  <dcterms:created xsi:type="dcterms:W3CDTF">1997-12-04T19:04:30Z</dcterms:created>
  <dcterms:modified xsi:type="dcterms:W3CDTF">2013-10-10T14:18:09Z</dcterms:modified>
</cp:coreProperties>
</file>