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210" windowWidth="12735" windowHeight="63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603" i="1" l="1"/>
  <c r="I603" i="1"/>
  <c r="G13" i="1"/>
  <c r="I243" i="1" l="1"/>
  <c r="I225" i="1"/>
  <c r="H243" i="1"/>
  <c r="H235" i="1"/>
  <c r="H225" i="1"/>
  <c r="H217" i="1"/>
  <c r="H234" i="1"/>
  <c r="G367" i="1"/>
  <c r="H367" i="1"/>
  <c r="H254" i="1" l="1"/>
  <c r="F56" i="1"/>
  <c r="F14" i="1"/>
  <c r="F24" i="1"/>
  <c r="C39" i="12" l="1"/>
  <c r="C37" i="12"/>
  <c r="B19" i="12"/>
  <c r="C30" i="12"/>
  <c r="C12" i="12"/>
  <c r="C10" i="12"/>
  <c r="B10" i="12"/>
  <c r="G497" i="1" l="1"/>
  <c r="H497" i="1"/>
  <c r="I497" i="1"/>
  <c r="J497" i="1"/>
  <c r="F497" i="1"/>
  <c r="I425" i="1" l="1"/>
  <c r="J425" i="1"/>
  <c r="H425" i="1"/>
  <c r="H154" i="1"/>
  <c r="H153" i="1"/>
  <c r="F313" i="1"/>
  <c r="I313" i="1"/>
  <c r="I294" i="1"/>
  <c r="F294" i="1"/>
  <c r="G96" i="1"/>
  <c r="G9" i="1"/>
  <c r="F358" i="1"/>
  <c r="G358" i="1"/>
  <c r="J358" i="1"/>
  <c r="I220" i="1"/>
  <c r="H242" i="1"/>
  <c r="H224" i="1"/>
  <c r="H240" i="1"/>
  <c r="H222" i="1"/>
  <c r="I238" i="1"/>
  <c r="H237" i="1"/>
  <c r="H219" i="1"/>
  <c r="H233" i="1"/>
  <c r="H215" i="1"/>
  <c r="F237" i="1"/>
  <c r="F233" i="1"/>
  <c r="K238" i="1" l="1"/>
  <c r="H238" i="1"/>
  <c r="K235" i="1"/>
  <c r="K232" i="1"/>
  <c r="H232" i="1"/>
  <c r="H220" i="1"/>
  <c r="H214" i="1"/>
  <c r="C37" i="10" l="1"/>
  <c r="F40" i="2" l="1"/>
  <c r="D39" i="2"/>
  <c r="G654" i="1"/>
  <c r="F47" i="2"/>
  <c r="E47" i="2"/>
  <c r="D47" i="2"/>
  <c r="C47" i="2"/>
  <c r="F46" i="2"/>
  <c r="E46" i="2"/>
  <c r="D46" i="2"/>
  <c r="D49" i="2" s="1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H661" i="1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G660" i="1" s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E108" i="2" s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G61" i="2" s="1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2" i="10"/>
  <c r="C13" i="10"/>
  <c r="C17" i="10"/>
  <c r="C19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G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F551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E118" i="2"/>
  <c r="C119" i="2"/>
  <c r="E119" i="2"/>
  <c r="C120" i="2"/>
  <c r="E120" i="2"/>
  <c r="C121" i="2"/>
  <c r="E121" i="2"/>
  <c r="E122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G163" i="2" s="1"/>
  <c r="F19" i="1"/>
  <c r="G19" i="1"/>
  <c r="G617" i="1" s="1"/>
  <c r="H19" i="1"/>
  <c r="I19" i="1"/>
  <c r="F32" i="1"/>
  <c r="G32" i="1"/>
  <c r="H32" i="1"/>
  <c r="I32" i="1"/>
  <c r="G50" i="1"/>
  <c r="G622" i="1" s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H337" i="1" s="1"/>
  <c r="H351" i="1" s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J642" i="1" s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H641" i="1" s="1"/>
  <c r="I469" i="1"/>
  <c r="J469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K604" i="1" s="1"/>
  <c r="G647" i="1" s="1"/>
  <c r="H604" i="1"/>
  <c r="I604" i="1"/>
  <c r="J604" i="1"/>
  <c r="F613" i="1"/>
  <c r="G613" i="1"/>
  <c r="H613" i="1"/>
  <c r="I613" i="1"/>
  <c r="J613" i="1"/>
  <c r="K613" i="1"/>
  <c r="L613" i="1"/>
  <c r="G618" i="1"/>
  <c r="G619" i="1"/>
  <c r="G623" i="1"/>
  <c r="G624" i="1"/>
  <c r="H629" i="1"/>
  <c r="H630" i="1"/>
  <c r="H633" i="1"/>
  <c r="H635" i="1"/>
  <c r="H636" i="1"/>
  <c r="H637" i="1"/>
  <c r="G638" i="1"/>
  <c r="H638" i="1"/>
  <c r="G639" i="1"/>
  <c r="G640" i="1"/>
  <c r="H640" i="1"/>
  <c r="G641" i="1"/>
  <c r="G642" i="1"/>
  <c r="G643" i="1"/>
  <c r="H643" i="1"/>
  <c r="G644" i="1"/>
  <c r="H644" i="1"/>
  <c r="G649" i="1"/>
  <c r="G651" i="1"/>
  <c r="H651" i="1"/>
  <c r="G652" i="1"/>
  <c r="H652" i="1"/>
  <c r="G653" i="1"/>
  <c r="H653" i="1"/>
  <c r="H654" i="1"/>
  <c r="F191" i="1"/>
  <c r="L255" i="1"/>
  <c r="F31" i="2"/>
  <c r="C26" i="10"/>
  <c r="L350" i="1"/>
  <c r="L289" i="1"/>
  <c r="A31" i="12"/>
  <c r="C69" i="2"/>
  <c r="A40" i="12"/>
  <c r="D12" i="13"/>
  <c r="C12" i="13" s="1"/>
  <c r="G161" i="2"/>
  <c r="D61" i="2"/>
  <c r="D62" i="2" s="1"/>
  <c r="E49" i="2"/>
  <c r="D18" i="13"/>
  <c r="C18" i="13" s="1"/>
  <c r="D7" i="13"/>
  <c r="C7" i="13" s="1"/>
  <c r="F102" i="2"/>
  <c r="D18" i="2"/>
  <c r="E18" i="2"/>
  <c r="D17" i="13"/>
  <c r="C17" i="13" s="1"/>
  <c r="E8" i="13"/>
  <c r="C8" i="13" s="1"/>
  <c r="G158" i="2"/>
  <c r="C90" i="2"/>
  <c r="G80" i="2"/>
  <c r="F77" i="2"/>
  <c r="F80" i="2" s="1"/>
  <c r="F61" i="2"/>
  <c r="F62" i="2" s="1"/>
  <c r="D31" i="2"/>
  <c r="C77" i="2"/>
  <c r="C80" i="2" s="1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E31" i="2"/>
  <c r="E50" i="2" s="1"/>
  <c r="C31" i="2"/>
  <c r="D29" i="13"/>
  <c r="C29" i="13" s="1"/>
  <c r="D19" i="13"/>
  <c r="C19" i="13" s="1"/>
  <c r="E13" i="13"/>
  <c r="C13" i="13" s="1"/>
  <c r="E77" i="2"/>
  <c r="E80" i="2" s="1"/>
  <c r="L426" i="1"/>
  <c r="H111" i="1"/>
  <c r="F111" i="1"/>
  <c r="J640" i="1"/>
  <c r="J638" i="1"/>
  <c r="J570" i="1"/>
  <c r="K570" i="1"/>
  <c r="L432" i="1"/>
  <c r="L418" i="1"/>
  <c r="D80" i="2"/>
  <c r="I168" i="1"/>
  <c r="H168" i="1"/>
  <c r="G551" i="1"/>
  <c r="J643" i="1"/>
  <c r="J475" i="1"/>
  <c r="H625" i="1" s="1"/>
  <c r="I475" i="1"/>
  <c r="H624" i="1" s="1"/>
  <c r="J624" i="1" s="1"/>
  <c r="G337" i="1"/>
  <c r="G351" i="1" s="1"/>
  <c r="F168" i="1"/>
  <c r="J139" i="1"/>
  <c r="F570" i="1"/>
  <c r="I551" i="1"/>
  <c r="K548" i="1"/>
  <c r="K549" i="1"/>
  <c r="G22" i="2"/>
  <c r="K544" i="1"/>
  <c r="H551" i="1"/>
  <c r="C29" i="10"/>
  <c r="H139" i="1"/>
  <c r="L400" i="1"/>
  <c r="C138" i="2" s="1"/>
  <c r="L392" i="1"/>
  <c r="C137" i="2" s="1"/>
  <c r="A13" i="12"/>
  <c r="F22" i="13"/>
  <c r="C22" i="13" s="1"/>
  <c r="H25" i="13"/>
  <c r="C25" i="13" s="1"/>
  <c r="H570" i="1"/>
  <c r="L559" i="1"/>
  <c r="J544" i="1"/>
  <c r="G191" i="1"/>
  <c r="H191" i="1"/>
  <c r="E127" i="2"/>
  <c r="C35" i="10"/>
  <c r="L308" i="1"/>
  <c r="E16" i="13"/>
  <c r="J654" i="1"/>
  <c r="J644" i="1"/>
  <c r="L569" i="1"/>
  <c r="I570" i="1"/>
  <c r="J635" i="1"/>
  <c r="G36" i="2"/>
  <c r="L564" i="1"/>
  <c r="K550" i="1"/>
  <c r="K551" i="1" s="1"/>
  <c r="H33" i="13"/>
  <c r="H544" i="1" l="1"/>
  <c r="I544" i="1"/>
  <c r="G544" i="1"/>
  <c r="L523" i="1"/>
  <c r="L336" i="1"/>
  <c r="C18" i="10"/>
  <c r="G650" i="1"/>
  <c r="J650" i="1" s="1"/>
  <c r="J633" i="1"/>
  <c r="H51" i="1"/>
  <c r="H618" i="1" s="1"/>
  <c r="J618" i="1" s="1"/>
  <c r="G51" i="1"/>
  <c r="H617" i="1" s="1"/>
  <c r="J617" i="1" s="1"/>
  <c r="C18" i="2"/>
  <c r="C20" i="12"/>
  <c r="C21" i="12"/>
  <c r="C19" i="12"/>
  <c r="E33" i="13"/>
  <c r="D35" i="13" s="1"/>
  <c r="J551" i="1"/>
  <c r="L543" i="1"/>
  <c r="K597" i="1"/>
  <c r="G646" i="1" s="1"/>
  <c r="K502" i="1"/>
  <c r="G159" i="2"/>
  <c r="K499" i="1"/>
  <c r="J639" i="1"/>
  <c r="G616" i="1"/>
  <c r="F337" i="1"/>
  <c r="F351" i="1" s="1"/>
  <c r="E114" i="2"/>
  <c r="E144" i="2" s="1"/>
  <c r="L327" i="1"/>
  <c r="C10" i="10"/>
  <c r="F660" i="1"/>
  <c r="H660" i="1"/>
  <c r="L361" i="1"/>
  <c r="D144" i="2"/>
  <c r="D14" i="13"/>
  <c r="C14" i="13" s="1"/>
  <c r="G256" i="1"/>
  <c r="G270" i="1" s="1"/>
  <c r="C15" i="10"/>
  <c r="C123" i="2"/>
  <c r="C20" i="10"/>
  <c r="C16" i="10"/>
  <c r="D6" i="13"/>
  <c r="C6" i="13" s="1"/>
  <c r="L246" i="1"/>
  <c r="D5" i="13"/>
  <c r="C5" i="13" s="1"/>
  <c r="H646" i="1"/>
  <c r="F661" i="1"/>
  <c r="I661" i="1"/>
  <c r="C16" i="13"/>
  <c r="C122" i="2"/>
  <c r="L228" i="1"/>
  <c r="G659" i="1" s="1"/>
  <c r="G663" i="1" s="1"/>
  <c r="G666" i="1" s="1"/>
  <c r="C118" i="2"/>
  <c r="C127" i="2" s="1"/>
  <c r="J256" i="1"/>
  <c r="J270" i="1" s="1"/>
  <c r="H256" i="1"/>
  <c r="H270" i="1" s="1"/>
  <c r="K256" i="1"/>
  <c r="K270" i="1" s="1"/>
  <c r="I256" i="1"/>
  <c r="I270" i="1" s="1"/>
  <c r="C11" i="10"/>
  <c r="D15" i="13"/>
  <c r="C15" i="13" s="1"/>
  <c r="G648" i="1"/>
  <c r="J648" i="1" s="1"/>
  <c r="C109" i="2"/>
  <c r="C114" i="2" s="1"/>
  <c r="L210" i="1"/>
  <c r="F659" i="1" s="1"/>
  <c r="C61" i="2"/>
  <c r="C62" i="2" s="1"/>
  <c r="C103" i="2" s="1"/>
  <c r="C24" i="10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F103" i="2"/>
  <c r="H192" i="1"/>
  <c r="G628" i="1" s="1"/>
  <c r="G168" i="1"/>
  <c r="C39" i="10" s="1"/>
  <c r="G139" i="1"/>
  <c r="F139" i="1"/>
  <c r="F192" i="1" s="1"/>
  <c r="C36" i="10"/>
  <c r="G62" i="2"/>
  <c r="G103" i="2" s="1"/>
  <c r="G42" i="2"/>
  <c r="J50" i="1"/>
  <c r="G16" i="2"/>
  <c r="J19" i="1"/>
  <c r="G620" i="1" s="1"/>
  <c r="G18" i="2"/>
  <c r="F544" i="1"/>
  <c r="H433" i="1"/>
  <c r="J619" i="1"/>
  <c r="D102" i="2"/>
  <c r="D103" i="2" s="1"/>
  <c r="I139" i="1"/>
  <c r="I192" i="1" s="1"/>
  <c r="G629" i="1" s="1"/>
  <c r="J629" i="1" s="1"/>
  <c r="H645" i="1"/>
  <c r="G49" i="2"/>
  <c r="G50" i="2" s="1"/>
  <c r="J651" i="1"/>
  <c r="J641" i="1"/>
  <c r="G570" i="1"/>
  <c r="I433" i="1"/>
  <c r="G433" i="1"/>
  <c r="I662" i="1"/>
  <c r="L544" i="1" l="1"/>
  <c r="L337" i="1"/>
  <c r="L351" i="1" s="1"/>
  <c r="J646" i="1"/>
  <c r="C27" i="10"/>
  <c r="G471" i="1"/>
  <c r="G626" i="1"/>
  <c r="F467" i="1"/>
  <c r="C22" i="12"/>
  <c r="A22" i="12" s="1"/>
  <c r="C48" i="2"/>
  <c r="H659" i="1"/>
  <c r="H663" i="1" s="1"/>
  <c r="H671" i="1" s="1"/>
  <c r="C6" i="10" s="1"/>
  <c r="D31" i="13"/>
  <c r="C31" i="13" s="1"/>
  <c r="I660" i="1"/>
  <c r="G634" i="1"/>
  <c r="C28" i="10"/>
  <c r="D24" i="10" s="1"/>
  <c r="H647" i="1"/>
  <c r="J647" i="1" s="1"/>
  <c r="G671" i="1"/>
  <c r="C5" i="10" s="1"/>
  <c r="C144" i="2"/>
  <c r="F663" i="1"/>
  <c r="L256" i="1"/>
  <c r="L270" i="1" s="1"/>
  <c r="G630" i="1"/>
  <c r="J630" i="1" s="1"/>
  <c r="J645" i="1"/>
  <c r="G192" i="1"/>
  <c r="G625" i="1"/>
  <c r="J625" i="1" s="1"/>
  <c r="J51" i="1"/>
  <c r="H620" i="1" s="1"/>
  <c r="J620" i="1" s="1"/>
  <c r="C38" i="10"/>
  <c r="H473" i="1" l="1"/>
  <c r="H632" i="1"/>
  <c r="G632" i="1"/>
  <c r="H467" i="1"/>
  <c r="G473" i="1"/>
  <c r="H634" i="1"/>
  <c r="J634" i="1" s="1"/>
  <c r="G627" i="1"/>
  <c r="G467" i="1"/>
  <c r="G631" i="1"/>
  <c r="F471" i="1"/>
  <c r="F469" i="1"/>
  <c r="H626" i="1"/>
  <c r="J626" i="1" s="1"/>
  <c r="I659" i="1"/>
  <c r="I663" i="1" s="1"/>
  <c r="I671" i="1" s="1"/>
  <c r="C7" i="10" s="1"/>
  <c r="H666" i="1"/>
  <c r="D33" i="13"/>
  <c r="D36" i="13" s="1"/>
  <c r="D10" i="10"/>
  <c r="D23" i="10"/>
  <c r="C30" i="10"/>
  <c r="D26" i="10"/>
  <c r="D16" i="10"/>
  <c r="D13" i="10"/>
  <c r="D11" i="10"/>
  <c r="D21" i="10"/>
  <c r="D22" i="10"/>
  <c r="D27" i="10"/>
  <c r="D20" i="10"/>
  <c r="D18" i="10"/>
  <c r="D15" i="10"/>
  <c r="D17" i="10"/>
  <c r="D25" i="10"/>
  <c r="D12" i="10"/>
  <c r="D19" i="10"/>
  <c r="F671" i="1"/>
  <c r="C4" i="10" s="1"/>
  <c r="F666" i="1"/>
  <c r="C41" i="10"/>
  <c r="D38" i="10" s="1"/>
  <c r="J632" i="1" l="1"/>
  <c r="H469" i="1"/>
  <c r="H475" i="1" s="1"/>
  <c r="H623" i="1" s="1"/>
  <c r="J623" i="1" s="1"/>
  <c r="H628" i="1"/>
  <c r="J628" i="1" s="1"/>
  <c r="G469" i="1"/>
  <c r="G475" i="1" s="1"/>
  <c r="H622" i="1" s="1"/>
  <c r="J622" i="1" s="1"/>
  <c r="H627" i="1"/>
  <c r="J627" i="1"/>
  <c r="F473" i="1"/>
  <c r="H631" i="1"/>
  <c r="J631" i="1" s="1"/>
  <c r="F475" i="1"/>
  <c r="H621" i="1" s="1"/>
  <c r="I666" i="1"/>
  <c r="D28" i="10"/>
  <c r="D37" i="10"/>
  <c r="D36" i="10"/>
  <c r="D35" i="10"/>
  <c r="D40" i="10"/>
  <c r="D39" i="10"/>
  <c r="D41" i="10" l="1"/>
  <c r="C35" i="2" l="1"/>
  <c r="C49" i="2" s="1"/>
  <c r="C50" i="2" s="1"/>
  <c r="F50" i="1"/>
  <c r="G621" i="1" s="1"/>
  <c r="J621" i="1" l="1"/>
  <c r="F51" i="1"/>
  <c r="H616" i="1" s="1"/>
  <c r="J616" i="1" s="1"/>
  <c r="H655" i="1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<sst xmlns="http://schemas.openxmlformats.org/spreadsheetml/2006/main" count="3954" uniqueCount="919">
  <si>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</si>
  <si>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</si>
  <si>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</si>
  <si>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</si>
  <si>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</si>
  <si>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</si>
  <si>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</si>
  <si>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</si>
  <si>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</si>
  <si>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</si>
  <si>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</si>
  <si>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</si>
  <si>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</si>
  <si>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</si>
  <si>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</si>
  <si>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</si>
  <si>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</si>
  <si>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</si>
  <si>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</si>
  <si>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</si>
  <si>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</si>
  <si>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</si>
  <si>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</si>
  <si>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</si>
  <si>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</si>
  <si>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</si>
  <si>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</si>
  <si>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</si>
  <si>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</si>
  <si>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</si>
  <si>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</si>
  <si>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</si>
  <si>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</si>
  <si>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</si>
  <si>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</si>
  <si>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</si>
  <si>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</si>
  <si>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</si>
  <si>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</si>
  <si>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</si>
  <si>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</si>
  <si>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</si>
  <si>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</si>
  <si>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</si>
  <si>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</si>
  <si>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</si>
  <si>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</si>
  <si>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</si>
  <si>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</si>
  <si>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</si>
  <si>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</si>
  <si>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</si>
  <si>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</si>
  <si>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</si>
  <si>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</si>
  <si>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</si>
  <si>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</si>
  <si>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</si>
  <si>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</si>
  <si>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</si>
  <si>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</si>
  <si>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</si>
  <si>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</si>
  <si>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</si>
  <si>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</si>
  <si>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</si>
  <si>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</si>
  <si>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</si>
  <si>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</si>
  <si>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</si>
  <si>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</si>
  <si>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</si>
  <si>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</si>
  <si>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</si>
  <si>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</si>
  <si>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</si>
  <si>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</si>
  <si>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</si>
  <si>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</si>
  <si>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</si>
  <si>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</si>
  <si>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</si>
  <si>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</si>
  <si>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</si>
  <si>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</si>
  <si>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</si>
  <si>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</si>
  <si>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</si>
  <si>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</si>
  <si>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</si>
  <si>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</si>
  <si>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</si>
  <si>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</si>
  <si>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</si>
  <si>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</si>
  <si>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</si>
  <si>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</si>
  <si>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</si>
  <si>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</si>
  <si>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</si>
  <si>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</si>
  <si>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</si>
  <si>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</si>
  <si>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</si>
  <si>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</si>
  <si>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</si>
  <si>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</si>
  <si>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</si>
  <si>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</si>
  <si>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</si>
  <si>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</si>
  <si>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</si>
  <si>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</si>
  <si>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</si>
  <si>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</si>
  <si>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</si>
  <si>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</si>
  <si>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</si>
  <si>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</si>
  <si>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</si>
  <si>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</si>
  <si>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</si>
  <si>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</si>
  <si>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</si>
  <si>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</si>
  <si>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</si>
  <si>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</si>
  <si>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</si>
  <si>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</si>
  <si>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</si>
  <si>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</si>
  <si>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</si>
  <si>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</si>
  <si>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</si>
  <si>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</si>
  <si>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</si>
  <si>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</si>
  <si>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</si>
  <si>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</si>
  <si>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</si>
  <si>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</si>
  <si>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</si>
  <si>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</si>
  <si>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</si>
  <si>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</si>
  <si>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</si>
  <si>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</si>
  <si>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</si>
  <si>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</si>
  <si>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</si>
  <si>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</si>
  <si>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</si>
  <si>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</si>
  <si>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</si>
  <si>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</si>
  <si>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</si>
  <si>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</si>
  <si>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</si>
  <si>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</si>
  <si>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</si>
  <si>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</si>
  <si>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</si>
  <si>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</si>
  <si>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</si>
  <si>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</si>
  <si>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</si>
  <si>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</si>
  <si>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</si>
  <si>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</si>
  <si>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</si>
  <si>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</si>
  <si>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</si>
  <si>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</si>
  <si>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</si>
  <si>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</si>
  <si>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</si>
  <si>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</si>
  <si>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</si>
  <si>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</si>
  <si>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</si>
  <si>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</si>
  <si>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</si>
  <si>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</si>
  <si>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</si>
  <si>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</si>
  <si>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</si>
  <si>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</si>
  <si>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</si>
  <si>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</si>
  <si>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</si>
  <si>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</si>
  <si>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</si>
  <si>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</si>
  <si>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</si>
  <si>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</si>
  <si>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</si>
  <si>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</si>
  <si>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</si>
  <si>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</si>
  <si>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</si>
  <si>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</si>
  <si>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</si>
  <si>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</si>
  <si>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</si>
  <si>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</si>
  <si>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</si>
  <si>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</si>
  <si>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</si>
  <si>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</si>
  <si>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</si>
  <si>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</si>
  <si>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</si>
  <si>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</si>
  <si>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</si>
  <si>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</si>
  <si>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</si>
  <si>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</si>
  <si>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</si>
  <si>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</si>
  <si>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</si>
  <si>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</si>
  <si>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</si>
  <si>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</si>
  <si>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</si>
  <si>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</si>
  <si>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</si>
  <si>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</si>
  <si>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</si>
  <si>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</si>
  <si>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</si>
  <si>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</si>
  <si>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</si>
  <si>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</si>
  <si>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</si>
  <si>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</si>
  <si>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</si>
  <si>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</si>
  <si>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</si>
  <si>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</si>
  <si>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</si>
  <si>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</si>
  <si>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</si>
  <si>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</si>
  <si>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</si>
  <si>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</si>
  <si>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</si>
  <si>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</si>
  <si>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</si>
  <si>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</si>
  <si>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</si>
  <si>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</si>
  <si>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</si>
  <si>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</si>
  <si>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</si>
  <si>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</si>
  <si>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</si>
  <si>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</si>
  <si>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</si>
  <si>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</si>
  <si>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</si>
  <si>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</si>
  <si>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</si>
  <si>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</si>
  <si>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</si>
  <si>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</si>
  <si>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</si>
  <si>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</si>
  <si>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</si>
  <si>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</si>
  <si>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</si>
  <si>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</si>
  <si>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</si>
  <si>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</si>
  <si>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</si>
  <si>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</si>
  <si>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</si>
  <si>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</si>
  <si>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</si>
  <si>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</si>
  <si>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</si>
  <si>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</si>
  <si>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</si>
  <si>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</si>
  <si>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</si>
  <si>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</si>
  <si>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</si>
  <si>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</si>
  <si>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</si>
  <si>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</si>
  <si>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</si>
  <si>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</si>
  <si>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</si>
  <si>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</si>
  <si>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</si>
  <si>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</si>
  <si>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</si>
  <si>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</si>
  <si>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</si>
  <si>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</si>
  <si>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</si>
  <si>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</si>
  <si>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</si>
  <si>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</si>
  <si>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</si>
  <si>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</si>
  <si>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</si>
  <si>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</si>
  <si>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</si>
  <si>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</si>
  <si>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</si>
  <si>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</si>
  <si>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</si>
  <si>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</si>
  <si>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</si>
  <si>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</si>
  <si>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</si>
  <si>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</si>
  <si>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</si>
  <si>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</si>
  <si>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</si>
  <si>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</si>
  <si>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</si>
  <si>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</si>
  <si>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</si>
  <si>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</si>
  <si>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</si>
  <si>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</si>
  <si>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</si>
  <si>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</si>
  <si>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</si>
  <si>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</si>
  <si>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</si>
  <si>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</si>
  <si>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</si>
  <si>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</si>
  <si>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</si>
  <si>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</si>
  <si>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</si>
  <si>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</si>
  <si>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</si>
  <si>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</si>
  <si>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</si>
  <si>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</si>
  <si>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</si>
  <si>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</si>
  <si>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</si>
  <si>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</si>
  <si>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</si>
  <si>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</si>
  <si>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</si>
  <si>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</si>
  <si>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</si>
  <si>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</si>
  <si>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</si>
  <si>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</si>
  <si>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</si>
  <si>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</si>
  <si>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</si>
  <si>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</si>
  <si>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</si>
  <si>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</si>
  <si>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</si>
  <si>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</si>
  <si>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</si>
  <si>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</si>
  <si>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</si>
  <si>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</si>
  <si>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</si>
  <si>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</si>
  <si>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</si>
  <si>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</si>
  <si>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</si>
  <si>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</si>
  <si>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</si>
  <si>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</si>
  <si>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</si>
  <si>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</si>
  <si>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</si>
  <si>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</si>
  <si>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</si>
  <si>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</si>
  <si>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</si>
  <si>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</si>
  <si>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</si>
  <si>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</si>
  <si>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</si>
  <si>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</si>
  <si>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</si>
  <si>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</si>
  <si>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</si>
  <si>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</si>
  <si>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</si>
  <si>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</si>
  <si>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</si>
  <si>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</si>
  <si>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</si>
  <si>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</si>
  <si>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</si>
  <si>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</si>
  <si>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</si>
  <si>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</si>
  <si>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</si>
  <si>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</si>
  <si>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</si>
  <si>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</si>
  <si>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</si>
  <si>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</si>
  <si>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</si>
  <si>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</si>
  <si>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</si>
  <si>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</si>
  <si>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</si>
  <si>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</si>
  <si>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</si>
  <si>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</si>
  <si>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</si>
  <si>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</si>
  <si>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</si>
  <si>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</si>
  <si>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</si>
  <si>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</si>
  <si>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</si>
  <si>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</si>
  <si>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</si>
  <si>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</si>
  <si>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</si>
  <si>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</si>
  <si>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</si>
  <si>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</si>
  <si>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</si>
  <si>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</si>
  <si>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</si>
  <si>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</si>
  <si>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</si>
  <si>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</si>
  <si>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</si>
  <si>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</si>
  <si>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</si>
  <si>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</si>
  <si>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</si>
  <si>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</si>
  <si>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</si>
  <si>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</si>
  <si>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</si>
  <si>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</si>
  <si>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</si>
  <si>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</si>
  <si>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</si>
  <si>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</si>
  <si>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</si>
  <si>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</si>
  <si>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</si>
  <si>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</si>
  <si>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</si>
  <si>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</si>
  <si>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</si>
  <si>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</si>
  <si>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</si>
  <si>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</si>
  <si>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</si>
  <si>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</si>
  <si>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</si>
  <si>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</si>
  <si>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</si>
  <si>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</si>
  <si>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</si>
  <si>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</si>
  <si>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</si>
  <si>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</si>
  <si>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</si>
  <si>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</si>
  <si>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</si>
  <si>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</si>
  <si>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</si>
  <si>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</si>
  <si>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</si>
  <si>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</si>
  <si>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</si>
  <si>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</si>
  <si>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</si>
  <si>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</si>
  <si>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</si>
  <si>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</si>
  <si>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</si>
  <si>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</si>
  <si>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</si>
  <si>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</si>
  <si>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</si>
  <si>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</si>
  <si>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</si>
  <si>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</si>
  <si>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</si>
  <si>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</si>
  <si>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</si>
  <si>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</si>
  <si>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</si>
  <si>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</si>
  <si>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</si>
  <si>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</si>
  <si>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</si>
  <si>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</si>
  <si>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</si>
  <si>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</si>
  <si>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</si>
  <si>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</si>
  <si>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</si>
  <si>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</si>
  <si>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</si>
  <si>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</si>
  <si>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</si>
  <si>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</si>
  <si>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</si>
  <si>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</si>
  <si>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</si>
  <si>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</si>
  <si>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</si>
  <si>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</si>
  <si>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</si>
  <si>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</si>
  <si>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</si>
  <si>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</si>
  <si>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</si>
  <si>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</si>
  <si>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</si>
  <si>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</si>
  <si>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</si>
  <si>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</si>
  <si>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</si>
  <si>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</si>
  <si>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</si>
  <si>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</si>
  <si>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</si>
  <si>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</si>
  <si>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</si>
  <si>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</si>
  <si>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</si>
  <si>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</si>
  <si>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</si>
  <si>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</si>
  <si>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</si>
  <si>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</si>
  <si>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</si>
  <si>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</si>
  <si>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</si>
  <si>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</si>
  <si>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</si>
  <si>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</si>
  <si>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</si>
  <si>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</si>
  <si>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</si>
  <si>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</si>
  <si>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</si>
  <si>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</si>
  <si>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</si>
  <si>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</si>
  <si>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</si>
  <si>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</si>
  <si>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</si>
  <si>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</si>
  <si>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</si>
  <si>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</si>
  <si>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</si>
  <si>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</si>
  <si>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</si>
  <si>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</si>
  <si>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</si>
  <si>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</si>
  <si>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</si>
  <si>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</si>
  <si>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</si>
  <si>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</si>
  <si>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</si>
  <si>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</si>
  <si>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</si>
  <si>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</si>
  <si>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</si>
  <si>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</si>
  <si>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</si>
  <si>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</si>
  <si>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</si>
  <si>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</si>
  <si>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</si>
  <si>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</si>
  <si>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</si>
  <si>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</si>
  <si>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</si>
  <si>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</si>
  <si>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</si>
  <si>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</si>
  <si>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</si>
  <si>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</si>
  <si>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</si>
  <si>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</si>
  <si>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</si>
  <si>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</si>
  <si>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</si>
  <si>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</si>
  <si>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</si>
  <si>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</si>
  <si>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</si>
  <si>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</si>
  <si>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</si>
  <si>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</si>
  <si>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</si>
  <si>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</si>
  <si>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</si>
  <si>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</si>
  <si>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</si>
  <si>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</si>
  <si>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</si>
  <si>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</si>
  <si>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</si>
  <si>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</si>
  <si>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</si>
  <si>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</si>
  <si>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</si>
  <si>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</si>
  <si>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</si>
  <si>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</si>
  <si>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</si>
  <si>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</si>
  <si>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</si>
  <si>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</si>
  <si>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</si>
  <si>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</si>
  <si>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</si>
  <si>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</si>
  <si>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</si>
  <si>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</si>
  <si>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</si>
  <si>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</si>
  <si>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</si>
  <si>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</si>
  <si>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</si>
  <si>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</si>
  <si>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</si>
  <si>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</si>
  <si>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</si>
  <si>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</si>
  <si>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</si>
  <si>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</si>
  <si>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</si>
  <si>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</si>
  <si>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</si>
  <si>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</si>
  <si>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</si>
  <si>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</si>
  <si>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</si>
  <si>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</si>
  <si>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</si>
  <si>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</si>
  <si>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</si>
  <si>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</si>
  <si>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</si>
  <si>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</si>
  <si>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</si>
  <si>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</si>
  <si>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</si>
  <si>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</si>
  <si>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</si>
  <si>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</si>
  <si>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</si>
  <si>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</si>
  <si>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</si>
  <si>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</si>
  <si>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</si>
  <si>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</si>
  <si>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</si>
  <si>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</si>
  <si>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</si>
  <si>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</si>
  <si>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</si>
  <si>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</si>
  <si>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</si>
  <si>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</si>
  <si>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</si>
  <si>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</si>
  <si>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</si>
  <si>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</si>
  <si>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</si>
  <si>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</si>
  <si>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</si>
  <si>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</si>
  <si>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</si>
  <si>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</si>
  <si>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</si>
  <si>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</si>
  <si>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</si>
  <si>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</si>
  <si>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</si>
  <si>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</si>
  <si>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</si>
  <si>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</si>
  <si>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</si>
  <si>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</si>
  <si>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</si>
  <si>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</si>
  <si>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</si>
  <si>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</si>
  <si>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</si>
  <si>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</si>
  <si>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</si>
  <si>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</si>
  <si>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</si>
  <si>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</si>
  <si>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</si>
  <si>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</si>
  <si>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</si>
  <si>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</si>
  <si>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</si>
  <si>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</si>
  <si>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</si>
  <si>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</si>
  <si>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</si>
  <si>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</si>
  <si>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</si>
  <si>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</si>
  <si>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</si>
  <si>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</si>
  <si>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</si>
  <si>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</si>
  <si>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</si>
  <si>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</si>
  <si>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</si>
  <si>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</si>
  <si>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</si>
  <si>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</si>
  <si>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</si>
  <si>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</si>
  <si>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</si>
  <si>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</si>
  <si>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</si>
  <si>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</si>
  <si>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</si>
  <si>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</si>
  <si>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</si>
  <si>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</si>
  <si>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</si>
  <si>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</si>
  <si>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</si>
  <si>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</si>
  <si>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</si>
  <si>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</si>
  <si>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</si>
  <si>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</si>
  <si>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</si>
  <si>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</si>
  <si>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</si>
  <si>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</si>
  <si>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</si>
  <si>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</si>
  <si>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</si>
  <si>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</si>
  <si>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</si>
  <si>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</si>
  <si>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</si>
  <si>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</si>
  <si>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</si>
  <si>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</si>
  <si>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</si>
  <si>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</si>
  <si>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</si>
  <si>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</si>
  <si>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</si>
  <si>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</si>
  <si>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</si>
  <si>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</si>
  <si>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</si>
  <si>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</si>
  <si>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</si>
  <si>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</si>
  <si>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</si>
  <si>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</si>
  <si>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</si>
  <si>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</si>
  <si>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</si>
  <si>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</si>
  <si>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</si>
  <si>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</si>
  <si>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</si>
  <si>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</si>
  <si>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</si>
  <si>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</si>
  <si>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</si>
  <si>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</si>
  <si>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</si>
  <si>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</si>
  <si>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</si>
  <si>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</si>
  <si>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</si>
  <si>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</si>
  <si>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</si>
  <si>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</si>
  <si>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</si>
  <si>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</si>
  <si>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</si>
  <si>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</si>
  <si>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</si>
  <si>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</si>
  <si>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</si>
  <si>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</si>
  <si>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</si>
  <si>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</si>
  <si>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</si>
  <si>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</si>
  <si>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</si>
  <si>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</si>
  <si>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</si>
  <si>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</si>
  <si>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</si>
  <si>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</si>
  <si>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</si>
  <si>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</si>
  <si>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</si>
  <si>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</si>
  <si>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</si>
  <si>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</si>
  <si>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</si>
  <si>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</si>
  <si>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</si>
  <si>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</si>
  <si>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</si>
  <si>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</si>
  <si>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</si>
  <si>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</si>
  <si>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</si>
  <si>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</si>
  <si>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</si>
  <si>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</si>
  <si>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</si>
  <si>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</si>
  <si>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</si>
  <si>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</si>
  <si>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</si>
  <si>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</si>
  <si>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</si>
  <si>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</si>
  <si>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</si>
  <si>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</si>
  <si>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</si>
  <si>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</si>
  <si>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</si>
  <si>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</si>
  <si>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</si>
  <si>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</si>
  <si>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</si>
  <si>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</si>
  <si>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</si>
  <si>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</si>
  <si>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</si>
  <si>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</si>
  <si>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</si>
  <si>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</si>
  <si>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</si>
  <si>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</si>
  <si>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</si>
  <si>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</si>
  <si>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</si>
  <si>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</si>
  <si>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</si>
  <si>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</si>
  <si>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</si>
  <si>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</si>
  <si>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</si>
  <si>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</si>
  <si>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</si>
  <si>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</si>
  <si>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</si>
  <si>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</si>
  <si>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</si>
  <si>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</si>
  <si>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</si>
  <si>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</si>
  <si>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</si>
  <si>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</si>
  <si>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</si>
  <si>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</si>
  <si>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</si>
  <si>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</si>
  <si>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</si>
  <si>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</si>
  <si>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</si>
  <si>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</si>
  <si>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</si>
  <si>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</si>
  <si>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</si>
  <si>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</si>
  <si>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</si>
  <si>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</si>
  <si>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</si>
  <si>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</si>
  <si>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</si>
  <si>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</si>
  <si>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</si>
  <si>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</si>
  <si>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</si>
  <si>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</si>
  <si>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</si>
  <si>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</si>
  <si>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</si>
  <si>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</si>
  <si>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</si>
  <si>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</si>
  <si>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</si>
  <si>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</si>
  <si>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</si>
  <si>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</si>
  <si>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</si>
  <si>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</si>
  <si>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08/04</t>
  </si>
  <si>
    <t>01/03</t>
  </si>
  <si>
    <t>08/00</t>
  </si>
  <si>
    <t>08/96</t>
  </si>
  <si>
    <t>8/96</t>
  </si>
  <si>
    <t>08/24</t>
  </si>
  <si>
    <t>01/13</t>
  </si>
  <si>
    <t>08/15</t>
  </si>
  <si>
    <t>08/16</t>
  </si>
  <si>
    <t xml:space="preserve">Hollis Brookline Cooperative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</si>
</sst>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0" fontId="37" fillId="0" borderId="0"/>
  </cellStyleXfs>
  <cellXfs count="306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0" fontId="2" fillId="0" borderId="0" xfId="1" applyNumberFormat="1" applyFont="1" applyProtection="1">
      <protection locked="0"/>
    </xf>
    <xf numFmtId="40" fontId="2" fillId="0" borderId="0" xfId="1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2">
    <cellStyle name="Normal" xfId="0" builtinId="0"/>
    <cellStyle name="Normal 2" xfId="1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5" zoomScaleNormal="85" workbookViewId="0">
      <pane xSplit="5" ySplit="3" topLeftCell="F631" activePane="bottomRight" state="frozen"/>
      <selection activeCell="B2" sqref="B2"/>
      <selection pane="topRight" activeCell="B2" sqref="B2"/>
      <selection pane="bottomLeft" activeCell="B2" sqref="B2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918</v>
      </c>
      <c r="B2" s="21">
        <v>260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814578</v>
      </c>
      <c r="G9" s="18">
        <f>86334.23+74</f>
        <v>86408.23</v>
      </c>
      <c r="H9" s="18"/>
      <c r="I9" s="18"/>
      <c r="J9" s="67">
        <f>SUM(I438)</f>
        <v>31000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7809.21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528165.29</v>
      </c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15039.8</v>
      </c>
      <c r="G13" s="18">
        <f>780083.44+105796.25</f>
        <v>885879.69</v>
      </c>
      <c r="H13" s="18">
        <v>44423.58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953.85-695.31</f>
        <v>258.54000000000008</v>
      </c>
      <c r="G14" s="18">
        <v>7589.61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6837.78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29769</v>
      </c>
      <c r="G17" s="18"/>
      <c r="H17" s="18">
        <v>720</v>
      </c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1395619.8400000001</v>
      </c>
      <c r="G19" s="41">
        <f>SUM(G9:G18)</f>
        <v>986715.30999999994</v>
      </c>
      <c r="H19" s="41">
        <f>SUM(H9:H18)</f>
        <v>45143.58</v>
      </c>
      <c r="I19" s="41">
        <f>SUM(I9:I18)</f>
        <v>0</v>
      </c>
      <c r="J19" s="41">
        <f>SUM(J9:J18)</f>
        <v>31000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665014.39</v>
      </c>
      <c r="G22" s="18">
        <v>780083.44</v>
      </c>
      <c r="H22" s="18">
        <v>36956.71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65903.44</v>
      </c>
      <c r="G23" s="18"/>
      <c r="H23" s="18">
        <v>2842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218347.28+82579.59</f>
        <v>300926.87</v>
      </c>
      <c r="G24" s="18">
        <v>1556</v>
      </c>
      <c r="H24" s="18">
        <v>5344.87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64610.97</v>
      </c>
      <c r="G28" s="18">
        <v>1005.59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15755.99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1096455.6700000002</v>
      </c>
      <c r="G32" s="41">
        <f>SUM(G22:G31)</f>
        <v>798401.0199999999</v>
      </c>
      <c r="H32" s="41">
        <f>SUM(H22:H31)</f>
        <v>45143.58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6837.78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29769.200000000001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181476.51</v>
      </c>
      <c r="H47" s="18"/>
      <c r="I47" s="18"/>
      <c r="J47" s="13">
        <f>SUM(I458)</f>
        <v>31000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42025.17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172369.8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299164.17</v>
      </c>
      <c r="G50" s="41">
        <f>SUM(G35:G49)</f>
        <v>188314.29</v>
      </c>
      <c r="H50" s="41">
        <f>SUM(H35:H49)</f>
        <v>0</v>
      </c>
      <c r="I50" s="41">
        <f>SUM(I35:I49)</f>
        <v>0</v>
      </c>
      <c r="J50" s="41">
        <f>SUM(J35:J49)</f>
        <v>31000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1395619.8400000001</v>
      </c>
      <c r="G51" s="41">
        <f>G50+G32</f>
        <v>986715.30999999994</v>
      </c>
      <c r="H51" s="41">
        <f>H50+H32</f>
        <v>45143.58</v>
      </c>
      <c r="I51" s="41">
        <f>I50+I32</f>
        <v>0</v>
      </c>
      <c r="J51" s="41">
        <f>J50+J32</f>
        <v>31000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5411994+7728293</f>
        <v>13140287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13140287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60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60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3942.06</v>
      </c>
      <c r="G95" s="18"/>
      <c r="H95" s="18"/>
      <c r="I95" s="18"/>
      <c r="J95" s="18"/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128700.65+287038.63-100.03</f>
        <v>415639.25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44261.23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1237.5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27663.97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13332.21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90436.97</v>
      </c>
      <c r="G110" s="41">
        <f>SUM(G95:G109)</f>
        <v>415639.25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13230783.970000001</v>
      </c>
      <c r="G111" s="41">
        <f>G59+G110</f>
        <v>415639.25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2918544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2135945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5054489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395638.88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157167.76999999999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4320.91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3601.69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557127.56000000006</v>
      </c>
      <c r="G135" s="41">
        <f>SUM(G122:G134)</f>
        <v>3601.69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5611616.5600000005</v>
      </c>
      <c r="G139" s="41">
        <f>G120+SUM(G135:G136)</f>
        <v>3601.69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5137.17+5252.87</f>
        <v>10390.040000000001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4223.39+2400</f>
        <v>6623.39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37037.43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213254.64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98017.49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>
        <v>16097.41</v>
      </c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98017.49</v>
      </c>
      <c r="G161" s="41">
        <f>SUM(G149:G160)</f>
        <v>53134.84</v>
      </c>
      <c r="H161" s="41">
        <f>SUM(H149:H160)</f>
        <v>230268.07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98017.49</v>
      </c>
      <c r="G168" s="41">
        <f>G146+G161+SUM(G162:G167)</f>
        <v>53134.84</v>
      </c>
      <c r="H168" s="41">
        <f>H146+H161+SUM(H162:H167)</f>
        <v>230268.07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99151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99151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5970.71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5970.71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5970.71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99151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18946388.73</v>
      </c>
      <c r="G192" s="47">
        <f>G111+G139+G168+G191</f>
        <v>472375.78</v>
      </c>
      <c r="H192" s="47">
        <f>H111+H139+H168+H191</f>
        <v>230268.07</v>
      </c>
      <c r="I192" s="47">
        <f>I111+I139+I168+I191</f>
        <v>0</v>
      </c>
      <c r="J192" s="47">
        <f>J111+J139+J191</f>
        <v>99151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/>
      <c r="I196" s="18"/>
      <c r="J196" s="18"/>
      <c r="K196" s="18"/>
      <c r="L196" s="19">
        <f>SUM(F196:K196)</f>
        <v>0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0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0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1763891.52</v>
      </c>
      <c r="G214" s="18">
        <v>659207.61</v>
      </c>
      <c r="H214" s="18">
        <f>5760.32</f>
        <v>5760.32</v>
      </c>
      <c r="I214" s="18">
        <v>40949.699999999997</v>
      </c>
      <c r="J214" s="18">
        <v>18731.45</v>
      </c>
      <c r="K214" s="18">
        <v>248</v>
      </c>
      <c r="L214" s="19">
        <f>SUM(F214:K214)</f>
        <v>2488788.6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545676.26</v>
      </c>
      <c r="G215" s="18">
        <v>203932.01</v>
      </c>
      <c r="H215" s="18">
        <f>79664.97+0+275102.04+1423.39</f>
        <v>356190.4</v>
      </c>
      <c r="I215" s="18">
        <v>1166.4000000000001</v>
      </c>
      <c r="J215" s="18">
        <v>492.2</v>
      </c>
      <c r="K215" s="18"/>
      <c r="L215" s="19">
        <f>SUM(F215:K215)</f>
        <v>1107457.2699999998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45538</v>
      </c>
      <c r="G217" s="18">
        <v>17018.62</v>
      </c>
      <c r="H217" s="18">
        <f>10293+0</f>
        <v>10293</v>
      </c>
      <c r="I217" s="18">
        <v>2547.02</v>
      </c>
      <c r="J217" s="18"/>
      <c r="K217" s="18">
        <v>750</v>
      </c>
      <c r="L217" s="19">
        <f>SUM(F217:K217)</f>
        <v>76146.64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279731.31</v>
      </c>
      <c r="G219" s="18">
        <v>104542.15</v>
      </c>
      <c r="H219" s="18">
        <f>47082.27+0+0+2997.15+20045.82</f>
        <v>70125.239999999991</v>
      </c>
      <c r="I219" s="18">
        <v>2976.81</v>
      </c>
      <c r="J219" s="18"/>
      <c r="K219" s="18"/>
      <c r="L219" s="19">
        <f t="shared" ref="L219:L225" si="2">SUM(F219:K219)</f>
        <v>457375.50999999995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42656</v>
      </c>
      <c r="G220" s="18">
        <v>15941.55</v>
      </c>
      <c r="H220" s="18">
        <f>0+0+1200</f>
        <v>1200</v>
      </c>
      <c r="I220" s="18">
        <f>8021.3+569.66+6012.36+13164.19</f>
        <v>27767.510000000002</v>
      </c>
      <c r="J220" s="18">
        <v>1179.51</v>
      </c>
      <c r="K220" s="18"/>
      <c r="L220" s="19">
        <f t="shared" si="2"/>
        <v>88744.569999999992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>
        <v>260407.44</v>
      </c>
      <c r="I221" s="18">
        <v>265.64</v>
      </c>
      <c r="J221" s="18">
        <v>1591.11</v>
      </c>
      <c r="K221" s="18"/>
      <c r="L221" s="19">
        <f t="shared" si="2"/>
        <v>262264.19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279940.90000000002</v>
      </c>
      <c r="G222" s="18">
        <v>104620.48</v>
      </c>
      <c r="H222" s="18">
        <f>0+19247.67+35194.23+939.25</f>
        <v>55381.15</v>
      </c>
      <c r="I222" s="18"/>
      <c r="J222" s="18"/>
      <c r="K222" s="18"/>
      <c r="L222" s="19">
        <f t="shared" si="2"/>
        <v>439942.53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>
        <v>875.03</v>
      </c>
      <c r="L223" s="19">
        <f t="shared" si="2"/>
        <v>875.03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184918.71</v>
      </c>
      <c r="G224" s="18">
        <v>69108.460000000006</v>
      </c>
      <c r="H224" s="18">
        <f>82554.62+0+2738.87+22629.14</f>
        <v>107922.62999999999</v>
      </c>
      <c r="I224" s="18">
        <v>146663.72</v>
      </c>
      <c r="J224" s="18">
        <v>1013.48</v>
      </c>
      <c r="K224" s="18"/>
      <c r="L224" s="19">
        <f t="shared" si="2"/>
        <v>509627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296376.99+7549.8</f>
        <v>303926.78999999998</v>
      </c>
      <c r="I225" s="18">
        <f>49445.03-13545</f>
        <v>35900.03</v>
      </c>
      <c r="J225" s="18"/>
      <c r="K225" s="18"/>
      <c r="L225" s="19">
        <f t="shared" si="2"/>
        <v>339826.81999999995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3142352.7</v>
      </c>
      <c r="G228" s="41">
        <f>SUM(G214:G227)</f>
        <v>1174370.8800000001</v>
      </c>
      <c r="H228" s="41">
        <f>SUM(H214:H227)</f>
        <v>1171206.97</v>
      </c>
      <c r="I228" s="41">
        <f>SUM(I214:I227)</f>
        <v>258236.83</v>
      </c>
      <c r="J228" s="41">
        <f>SUM(J214:J227)</f>
        <v>23007.75</v>
      </c>
      <c r="K228" s="41">
        <f t="shared" si="3"/>
        <v>1873.03</v>
      </c>
      <c r="L228" s="41">
        <f t="shared" si="3"/>
        <v>5771048.1600000011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3151067.3</v>
      </c>
      <c r="G232" s="18">
        <v>1202887.54</v>
      </c>
      <c r="H232" s="18">
        <f>50+2362.74+3739.32</f>
        <v>6152.0599999999995</v>
      </c>
      <c r="I232" s="18">
        <v>111129.91</v>
      </c>
      <c r="J232" s="18">
        <v>41566.49</v>
      </c>
      <c r="K232" s="18">
        <f>297</f>
        <v>297</v>
      </c>
      <c r="L232" s="19">
        <f>SUM(F232:K232)</f>
        <v>4513100.3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935079.07+23807.2</f>
        <v>958886.2699999999</v>
      </c>
      <c r="G233" s="18">
        <v>356956.82</v>
      </c>
      <c r="H233" s="18">
        <f>140685.79+0+630741.74+2702.38</f>
        <v>774129.91</v>
      </c>
      <c r="I233" s="18">
        <v>4327.59</v>
      </c>
      <c r="J233" s="18">
        <v>8818.91</v>
      </c>
      <c r="K233" s="18"/>
      <c r="L233" s="19">
        <f>SUM(F233:K233)</f>
        <v>2103119.5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25192</v>
      </c>
      <c r="G234" s="18">
        <v>9616.7900000000009</v>
      </c>
      <c r="H234" s="18">
        <f>42073.69+4917.2</f>
        <v>46990.89</v>
      </c>
      <c r="I234" s="18">
        <v>99.75</v>
      </c>
      <c r="J234" s="18"/>
      <c r="K234" s="18">
        <v>130</v>
      </c>
      <c r="L234" s="19">
        <f>SUM(F234:K234)</f>
        <v>82029.429999999993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277202.77</v>
      </c>
      <c r="G235" s="18">
        <v>105819.31</v>
      </c>
      <c r="H235" s="18">
        <f>35310.05+610+46.26</f>
        <v>35966.310000000005</v>
      </c>
      <c r="I235" s="18">
        <v>22810.06</v>
      </c>
      <c r="J235" s="18">
        <v>17239.3</v>
      </c>
      <c r="K235" s="18">
        <f>24936+0</f>
        <v>24936</v>
      </c>
      <c r="L235" s="19">
        <f>SUM(F235:K235)</f>
        <v>483973.75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543832.28+35416.7</f>
        <v>579248.98</v>
      </c>
      <c r="G237" s="18">
        <v>207602.38</v>
      </c>
      <c r="H237" s="18">
        <f>95918.27+0+0+5690.24+38058</f>
        <v>139666.51</v>
      </c>
      <c r="I237" s="18">
        <v>7121.79</v>
      </c>
      <c r="J237" s="18"/>
      <c r="K237" s="18">
        <v>820</v>
      </c>
      <c r="L237" s="19">
        <f t="shared" ref="L237:L243" si="4">SUM(F237:K237)</f>
        <v>934459.66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164541.76000000001</v>
      </c>
      <c r="G238" s="18">
        <v>62812.12</v>
      </c>
      <c r="H238" s="18">
        <f>1229.52+3287.89+3287.89</f>
        <v>7805.2999999999993</v>
      </c>
      <c r="I238" s="18">
        <f>41634.47+1081.54+11414.76</f>
        <v>54130.770000000004</v>
      </c>
      <c r="J238" s="18">
        <v>53624.03</v>
      </c>
      <c r="K238" s="18">
        <f>20+0</f>
        <v>20</v>
      </c>
      <c r="L238" s="19">
        <f t="shared" si="4"/>
        <v>342933.98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>
        <v>494430.19</v>
      </c>
      <c r="I239" s="18">
        <v>504.36</v>
      </c>
      <c r="J239" s="18">
        <v>3021.01</v>
      </c>
      <c r="K239" s="18"/>
      <c r="L239" s="19">
        <f t="shared" si="4"/>
        <v>497955.56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398151.84</v>
      </c>
      <c r="G240" s="18">
        <v>151990.37</v>
      </c>
      <c r="H240" s="18">
        <f>82383.77+1783.22</f>
        <v>84166.99</v>
      </c>
      <c r="I240" s="18">
        <v>16585.29</v>
      </c>
      <c r="J240" s="18"/>
      <c r="K240" s="18">
        <v>13376.15</v>
      </c>
      <c r="L240" s="19">
        <f t="shared" si="4"/>
        <v>664270.64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>
        <v>-125434.71</v>
      </c>
      <c r="I241" s="18"/>
      <c r="J241" s="18"/>
      <c r="K241" s="18">
        <v>1661.28</v>
      </c>
      <c r="L241" s="19">
        <f t="shared" si="4"/>
        <v>-123773.43000000001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246634.82</v>
      </c>
      <c r="G242" s="18">
        <v>94150.31</v>
      </c>
      <c r="H242" s="18">
        <f>165288.63+5199.87+42962.57</f>
        <v>213451.07</v>
      </c>
      <c r="I242" s="18">
        <v>209031.09</v>
      </c>
      <c r="J242" s="18">
        <v>1409.36</v>
      </c>
      <c r="K242" s="18"/>
      <c r="L242" s="19">
        <f t="shared" si="4"/>
        <v>764676.64999999991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411903.02+124924+41811.86+1370.85-1079.24</f>
        <v>578930.49</v>
      </c>
      <c r="I243" s="18">
        <f>53892.44+13545</f>
        <v>67437.440000000002</v>
      </c>
      <c r="J243" s="18"/>
      <c r="K243" s="18"/>
      <c r="L243" s="19">
        <f t="shared" si="4"/>
        <v>646367.92999999993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5800925.7400000002</v>
      </c>
      <c r="G246" s="41">
        <f t="shared" si="5"/>
        <v>2191835.6400000006</v>
      </c>
      <c r="H246" s="41">
        <f t="shared" si="5"/>
        <v>2256255.0100000002</v>
      </c>
      <c r="I246" s="41">
        <f t="shared" si="5"/>
        <v>493178.05</v>
      </c>
      <c r="J246" s="41">
        <f t="shared" si="5"/>
        <v>125679.09999999999</v>
      </c>
      <c r="K246" s="41">
        <f t="shared" si="5"/>
        <v>41240.43</v>
      </c>
      <c r="L246" s="41">
        <f t="shared" si="5"/>
        <v>10909113.970000001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f>126291+7800</f>
        <v>134091</v>
      </c>
      <c r="I254" s="18"/>
      <c r="J254" s="18">
        <v>291</v>
      </c>
      <c r="K254" s="18"/>
      <c r="L254" s="19">
        <f t="shared" si="6"/>
        <v>134382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134091</v>
      </c>
      <c r="I255" s="41">
        <f t="shared" si="7"/>
        <v>0</v>
      </c>
      <c r="J255" s="41">
        <f t="shared" si="7"/>
        <v>291</v>
      </c>
      <c r="K255" s="41">
        <f t="shared" si="7"/>
        <v>0</v>
      </c>
      <c r="L255" s="41">
        <f>SUM(F255:K255)</f>
        <v>134382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8943278.4400000013</v>
      </c>
      <c r="G256" s="41">
        <f t="shared" si="8"/>
        <v>3366206.5200000005</v>
      </c>
      <c r="H256" s="41">
        <f t="shared" si="8"/>
        <v>3561552.9800000004</v>
      </c>
      <c r="I256" s="41">
        <f t="shared" si="8"/>
        <v>751414.88</v>
      </c>
      <c r="J256" s="41">
        <f t="shared" si="8"/>
        <v>148977.84999999998</v>
      </c>
      <c r="K256" s="41">
        <f t="shared" si="8"/>
        <v>43113.46</v>
      </c>
      <c r="L256" s="41">
        <f t="shared" si="8"/>
        <v>16814544.130000003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1000829.39</v>
      </c>
      <c r="L259" s="19">
        <f>SUM(F259:K259)</f>
        <v>1000829.39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886615.86</v>
      </c>
      <c r="L260" s="19">
        <f>SUM(F260:K260)</f>
        <v>886615.86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99151</v>
      </c>
      <c r="L265" s="19">
        <f t="shared" si="9"/>
        <v>99151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1986596.25</v>
      </c>
      <c r="L269" s="41">
        <f t="shared" si="9"/>
        <v>1986596.25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8943278.4400000013</v>
      </c>
      <c r="G270" s="42">
        <f t="shared" si="11"/>
        <v>3366206.5200000005</v>
      </c>
      <c r="H270" s="42">
        <f t="shared" si="11"/>
        <v>3561552.9800000004</v>
      </c>
      <c r="I270" s="42">
        <f t="shared" si="11"/>
        <v>751414.88</v>
      </c>
      <c r="J270" s="42">
        <f t="shared" si="11"/>
        <v>148977.84999999998</v>
      </c>
      <c r="K270" s="42">
        <f t="shared" si="11"/>
        <v>2029709.71</v>
      </c>
      <c r="L270" s="42">
        <f t="shared" si="11"/>
        <v>18801140.380000003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f>1449+474.38</f>
        <v>1923.38</v>
      </c>
      <c r="G294" s="18">
        <v>110.85</v>
      </c>
      <c r="H294" s="18">
        <v>828</v>
      </c>
      <c r="I294" s="18">
        <f>212.48+1812.24+982.69</f>
        <v>3007.41</v>
      </c>
      <c r="J294" s="18"/>
      <c r="K294" s="18"/>
      <c r="L294" s="19">
        <f>SUM(F294:K294)</f>
        <v>5869.6399999999994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54920.57</v>
      </c>
      <c r="G295" s="18">
        <v>4201.41</v>
      </c>
      <c r="H295" s="18">
        <v>13174.37</v>
      </c>
      <c r="I295" s="18">
        <v>655.5</v>
      </c>
      <c r="J295" s="18"/>
      <c r="K295" s="18">
        <v>621</v>
      </c>
      <c r="L295" s="19">
        <f>SUM(F295:K295)</f>
        <v>73572.849999999991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56843.95</v>
      </c>
      <c r="G308" s="42">
        <f t="shared" si="15"/>
        <v>4312.26</v>
      </c>
      <c r="H308" s="42">
        <f t="shared" si="15"/>
        <v>14002.37</v>
      </c>
      <c r="I308" s="42">
        <f t="shared" si="15"/>
        <v>3662.91</v>
      </c>
      <c r="J308" s="42">
        <f t="shared" si="15"/>
        <v>0</v>
      </c>
      <c r="K308" s="42">
        <f t="shared" si="15"/>
        <v>621</v>
      </c>
      <c r="L308" s="41">
        <f t="shared" si="15"/>
        <v>79442.489999999991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2751+900.63-0.61</f>
        <v>3651.02</v>
      </c>
      <c r="G313" s="18">
        <v>210.45</v>
      </c>
      <c r="H313" s="18">
        <v>1572</v>
      </c>
      <c r="I313" s="18">
        <f>403.99+3440.63+1865.7</f>
        <v>5710.32</v>
      </c>
      <c r="J313" s="18"/>
      <c r="K313" s="18"/>
      <c r="L313" s="19">
        <f>SUM(F313:K313)</f>
        <v>11143.789999999999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104269.48</v>
      </c>
      <c r="G314" s="18">
        <v>7976.59</v>
      </c>
      <c r="H314" s="18">
        <v>25012.21</v>
      </c>
      <c r="I314" s="18">
        <v>1244.5</v>
      </c>
      <c r="J314" s="18"/>
      <c r="K314" s="18">
        <v>1179.01</v>
      </c>
      <c r="L314" s="19">
        <f>SUM(F314:K314)</f>
        <v>139681.79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107920.5</v>
      </c>
      <c r="G327" s="42">
        <f t="shared" si="17"/>
        <v>8187.04</v>
      </c>
      <c r="H327" s="42">
        <f t="shared" si="17"/>
        <v>26584.21</v>
      </c>
      <c r="I327" s="42">
        <f t="shared" si="17"/>
        <v>6954.82</v>
      </c>
      <c r="J327" s="42">
        <f t="shared" si="17"/>
        <v>0</v>
      </c>
      <c r="K327" s="42">
        <f t="shared" si="17"/>
        <v>1179.01</v>
      </c>
      <c r="L327" s="41">
        <f t="shared" si="17"/>
        <v>150825.58000000002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164764.45000000001</v>
      </c>
      <c r="G337" s="41">
        <f t="shared" si="20"/>
        <v>12499.3</v>
      </c>
      <c r="H337" s="41">
        <f t="shared" si="20"/>
        <v>40586.58</v>
      </c>
      <c r="I337" s="41">
        <f t="shared" si="20"/>
        <v>10617.73</v>
      </c>
      <c r="J337" s="41">
        <f t="shared" si="20"/>
        <v>0</v>
      </c>
      <c r="K337" s="41">
        <f t="shared" si="20"/>
        <v>1800.01</v>
      </c>
      <c r="L337" s="41">
        <f t="shared" si="20"/>
        <v>230268.07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164764.45000000001</v>
      </c>
      <c r="G351" s="41">
        <f>G337</f>
        <v>12499.3</v>
      </c>
      <c r="H351" s="41">
        <f>H337</f>
        <v>40586.58</v>
      </c>
      <c r="I351" s="41">
        <f>I337</f>
        <v>10617.73</v>
      </c>
      <c r="J351" s="41">
        <f>J337</f>
        <v>0</v>
      </c>
      <c r="K351" s="47">
        <f>K337+K350</f>
        <v>1800.01</v>
      </c>
      <c r="L351" s="41">
        <f>L337+L350</f>
        <v>230268.07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60499.91+550.03</f>
        <v>61049.94</v>
      </c>
      <c r="G358" s="18">
        <f>18782.45</f>
        <v>18782.45</v>
      </c>
      <c r="H358" s="18">
        <v>66</v>
      </c>
      <c r="I358" s="18">
        <v>79357.919999999998</v>
      </c>
      <c r="J358" s="18">
        <f>4874.99+755</f>
        <v>5629.99</v>
      </c>
      <c r="K358" s="18"/>
      <c r="L358" s="19">
        <f>SUM(F358:K358)</f>
        <v>164886.29999999999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114413.03</v>
      </c>
      <c r="G359" s="18">
        <v>35520</v>
      </c>
      <c r="H359" s="18">
        <v>2797.13</v>
      </c>
      <c r="I359" s="18">
        <v>168045.97</v>
      </c>
      <c r="J359" s="18">
        <v>27044.06</v>
      </c>
      <c r="K359" s="18"/>
      <c r="L359" s="19">
        <f>SUM(F359:K359)</f>
        <v>347820.19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175462.97</v>
      </c>
      <c r="G361" s="47">
        <f t="shared" si="22"/>
        <v>54302.45</v>
      </c>
      <c r="H361" s="47">
        <f t="shared" si="22"/>
        <v>2863.13</v>
      </c>
      <c r="I361" s="47">
        <f t="shared" si="22"/>
        <v>247403.89</v>
      </c>
      <c r="J361" s="47">
        <f t="shared" si="22"/>
        <v>32674.050000000003</v>
      </c>
      <c r="K361" s="47">
        <f t="shared" si="22"/>
        <v>0</v>
      </c>
      <c r="L361" s="47">
        <f t="shared" si="22"/>
        <v>512706.49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>
        <v>71510.44</v>
      </c>
      <c r="H366" s="18">
        <v>155511.06</v>
      </c>
      <c r="I366" s="56">
        <f>SUM(F366:H366)</f>
        <v>227021.5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>
        <f>5257.91+2589.57</f>
        <v>7847.48</v>
      </c>
      <c r="H367" s="63">
        <f>12416.55+118.36</f>
        <v>12534.91</v>
      </c>
      <c r="I367" s="56">
        <f>SUM(F367:H367)</f>
        <v>20382.39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79357.919999999998</v>
      </c>
      <c r="H368" s="47">
        <f>SUM(H366:H367)</f>
        <v>168045.97</v>
      </c>
      <c r="I368" s="47">
        <f>SUM(I366:I367)</f>
        <v>247403.89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99151</v>
      </c>
      <c r="H399" s="18"/>
      <c r="I399" s="18"/>
      <c r="J399" s="24" t="s">
        <v>289</v>
      </c>
      <c r="K399" s="24" t="s">
        <v>289</v>
      </c>
      <c r="L399" s="56">
        <f t="shared" si="26"/>
        <v>99151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99151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99151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99151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99151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>
        <f>23500+7642</f>
        <v>31142</v>
      </c>
      <c r="I425" s="18">
        <f>68151-H425-J425</f>
        <v>8251.7799999999988</v>
      </c>
      <c r="J425" s="18">
        <f>16592.62+12164.6</f>
        <v>28757.22</v>
      </c>
      <c r="K425" s="18"/>
      <c r="L425" s="56">
        <f t="shared" si="29"/>
        <v>68151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31142</v>
      </c>
      <c r="I426" s="47">
        <f t="shared" si="30"/>
        <v>8251.7799999999988</v>
      </c>
      <c r="J426" s="47">
        <f t="shared" si="30"/>
        <v>28757.22</v>
      </c>
      <c r="K426" s="47">
        <f t="shared" si="30"/>
        <v>0</v>
      </c>
      <c r="L426" s="47">
        <f t="shared" si="30"/>
        <v>68151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31142</v>
      </c>
      <c r="I433" s="47">
        <f t="shared" si="32"/>
        <v>8251.7799999999988</v>
      </c>
      <c r="J433" s="47">
        <f t="shared" si="32"/>
        <v>28757.22</v>
      </c>
      <c r="K433" s="47">
        <f t="shared" si="32"/>
        <v>0</v>
      </c>
      <c r="L433" s="47">
        <f t="shared" si="32"/>
        <v>68151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31000</v>
      </c>
      <c r="H438" s="18"/>
      <c r="I438" s="56">
        <f t="shared" ref="I438:I444" si="33">SUM(F438:H438)</f>
        <v>31000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31000</v>
      </c>
      <c r="H445" s="13">
        <f>SUM(H438:H444)</f>
        <v>0</v>
      </c>
      <c r="I445" s="13">
        <f>SUM(I438:I444)</f>
        <v>31000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31000</v>
      </c>
      <c r="H458" s="18"/>
      <c r="I458" s="56">
        <f t="shared" si="34"/>
        <v>31000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31000</v>
      </c>
      <c r="H459" s="83">
        <f>SUM(H453:H458)</f>
        <v>0</v>
      </c>
      <c r="I459" s="83">
        <f>SUM(I453:I458)</f>
        <v>31000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31000</v>
      </c>
      <c r="H460" s="42">
        <f>H451+H459</f>
        <v>0</v>
      </c>
      <c r="I460" s="42">
        <f>I451+I459</f>
        <v>31000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153915.82</v>
      </c>
      <c r="G464" s="18">
        <v>228645</v>
      </c>
      <c r="H464" s="18">
        <v>0</v>
      </c>
      <c r="I464" s="18"/>
      <c r="J464" s="18">
        <v>0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18946388.73</v>
      </c>
      <c r="G467" s="18">
        <f>G192</f>
        <v>472375.78</v>
      </c>
      <c r="H467" s="18">
        <f>L351</f>
        <v>230268.07</v>
      </c>
      <c r="I467" s="18"/>
      <c r="J467" s="18">
        <v>99151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18946388.73</v>
      </c>
      <c r="G469" s="53">
        <f>SUM(G467:G468)</f>
        <v>472375.78</v>
      </c>
      <c r="H469" s="53">
        <f>SUM(H467:H468)</f>
        <v>230268.07</v>
      </c>
      <c r="I469" s="53">
        <f>SUM(I467:I468)</f>
        <v>0</v>
      </c>
      <c r="J469" s="53">
        <f>SUM(J467:J468)</f>
        <v>99151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18801140.380000003</v>
      </c>
      <c r="G471" s="18">
        <f>L361</f>
        <v>512706.49</v>
      </c>
      <c r="H471" s="18">
        <v>230268.07</v>
      </c>
      <c r="I471" s="18"/>
      <c r="J471" s="18">
        <v>68151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18801140.380000003</v>
      </c>
      <c r="G473" s="53">
        <f>SUM(G471:G472)</f>
        <v>512706.49</v>
      </c>
      <c r="H473" s="53">
        <f>SUM(H471:H472)</f>
        <v>230268.07</v>
      </c>
      <c r="I473" s="53">
        <f>SUM(I471:I472)</f>
        <v>0</v>
      </c>
      <c r="J473" s="53">
        <f>SUM(J471:J472)</f>
        <v>68151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299164.16999999806</v>
      </c>
      <c r="G475" s="53">
        <f>(G464+G469)- G473</f>
        <v>188314.29000000004</v>
      </c>
      <c r="H475" s="53">
        <f>(H464+H469)- H473</f>
        <v>0</v>
      </c>
      <c r="I475" s="53">
        <f>(I464+I469)- I473</f>
        <v>0</v>
      </c>
      <c r="J475" s="53">
        <f>(J464+J469)- J473</f>
        <v>31000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10</v>
      </c>
      <c r="H489" s="154">
        <v>15</v>
      </c>
      <c r="I489" s="154">
        <v>20</v>
      </c>
      <c r="J489" s="154">
        <v>20</v>
      </c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910</v>
      </c>
      <c r="H490" s="155" t="s">
        <v>911</v>
      </c>
      <c r="I490" s="155" t="s">
        <v>912</v>
      </c>
      <c r="J490" s="155" t="s">
        <v>913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914</v>
      </c>
      <c r="G491" s="155" t="s">
        <v>915</v>
      </c>
      <c r="H491" s="155" t="s">
        <v>916</v>
      </c>
      <c r="I491" s="155" t="s">
        <v>917</v>
      </c>
      <c r="J491" s="155" t="s">
        <v>917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7703400</v>
      </c>
      <c r="G492" s="18">
        <v>650000</v>
      </c>
      <c r="H492" s="18">
        <v>3200000</v>
      </c>
      <c r="I492" s="18">
        <v>8100000</v>
      </c>
      <c r="J492" s="18">
        <v>2700000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4.54</v>
      </c>
      <c r="G493" s="18">
        <v>4.25</v>
      </c>
      <c r="H493" s="18">
        <v>5.2</v>
      </c>
      <c r="I493" s="18">
        <v>5.71</v>
      </c>
      <c r="J493" s="18">
        <v>5.71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5820000</v>
      </c>
      <c r="G494" s="18">
        <v>65000</v>
      </c>
      <c r="H494" s="18">
        <v>612886</v>
      </c>
      <c r="I494" s="18">
        <v>1216254</v>
      </c>
      <c r="J494" s="18">
        <v>985000</v>
      </c>
      <c r="K494" s="53">
        <f>SUM(F494:J494)</f>
        <v>8699140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325000</v>
      </c>
      <c r="G496" s="18">
        <v>65000</v>
      </c>
      <c r="H496" s="18">
        <v>164517</v>
      </c>
      <c r="I496" s="18">
        <v>271313</v>
      </c>
      <c r="J496" s="18">
        <v>175000</v>
      </c>
      <c r="K496" s="53">
        <f t="shared" si="35"/>
        <v>1000830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5495000</v>
      </c>
      <c r="G497" s="204">
        <f t="shared" ref="G497:J497" si="36">G494-G496</f>
        <v>0</v>
      </c>
      <c r="H497" s="204">
        <f t="shared" si="36"/>
        <v>448369</v>
      </c>
      <c r="I497" s="204">
        <f t="shared" si="36"/>
        <v>944941</v>
      </c>
      <c r="J497" s="204">
        <f t="shared" si="36"/>
        <v>810000</v>
      </c>
      <c r="K497" s="205">
        <f t="shared" si="35"/>
        <v>7698310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2004746</v>
      </c>
      <c r="G498" s="18">
        <v>0</v>
      </c>
      <c r="H498" s="18">
        <v>611933</v>
      </c>
      <c r="I498" s="18">
        <v>1774572</v>
      </c>
      <c r="J498" s="18">
        <v>148206</v>
      </c>
      <c r="K498" s="53">
        <f t="shared" si="35"/>
        <v>4539457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7499746</v>
      </c>
      <c r="G499" s="42">
        <f>SUM(G497:G498)</f>
        <v>0</v>
      </c>
      <c r="H499" s="42">
        <f>SUM(H497:H498)</f>
        <v>1060302</v>
      </c>
      <c r="I499" s="42">
        <f>SUM(I497:I498)</f>
        <v>2719513</v>
      </c>
      <c r="J499" s="42">
        <f>SUM(J497:J498)</f>
        <v>958206</v>
      </c>
      <c r="K499" s="42">
        <f t="shared" si="35"/>
        <v>12237767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345000</v>
      </c>
      <c r="G500" s="204"/>
      <c r="H500" s="204">
        <v>157065</v>
      </c>
      <c r="I500" s="204">
        <v>256076</v>
      </c>
      <c r="J500" s="204">
        <v>185000</v>
      </c>
      <c r="K500" s="205">
        <f t="shared" si="35"/>
        <v>943141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273159</v>
      </c>
      <c r="G501" s="18"/>
      <c r="H501" s="18">
        <v>150552</v>
      </c>
      <c r="I501" s="18">
        <v>422691</v>
      </c>
      <c r="J501" s="18">
        <v>41256</v>
      </c>
      <c r="K501" s="53">
        <f t="shared" si="35"/>
        <v>887658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618159</v>
      </c>
      <c r="G502" s="42">
        <f>SUM(G500:G501)</f>
        <v>0</v>
      </c>
      <c r="H502" s="42">
        <f>SUM(H500:H501)</f>
        <v>307617</v>
      </c>
      <c r="I502" s="42">
        <f>SUM(I500:I501)</f>
        <v>678767</v>
      </c>
      <c r="J502" s="42">
        <f>SUM(J500:J501)</f>
        <v>226256</v>
      </c>
      <c r="K502" s="42">
        <f t="shared" si="35"/>
        <v>1830799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274">
        <v>543898.50999999989</v>
      </c>
      <c r="G521" s="274">
        <v>206085.48624492288</v>
      </c>
      <c r="H521" s="274">
        <v>286847.5</v>
      </c>
      <c r="I521" s="274">
        <v>2547.37</v>
      </c>
      <c r="J521" s="18"/>
      <c r="K521" s="18"/>
      <c r="L521" s="88">
        <f>SUM(F521:K521)</f>
        <v>1039378.8662449227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274">
        <v>935079.07</v>
      </c>
      <c r="G522" s="274">
        <v>354305.48397420743</v>
      </c>
      <c r="H522" s="274">
        <v>467804.85</v>
      </c>
      <c r="I522" s="274">
        <v>2331.1799999999998</v>
      </c>
      <c r="J522" s="18"/>
      <c r="K522" s="18"/>
      <c r="L522" s="88">
        <f>SUM(F522:K522)</f>
        <v>1759520.5839742075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1478977.5799999998</v>
      </c>
      <c r="G523" s="108">
        <f t="shared" ref="G523:L523" si="37">SUM(G520:G522)</f>
        <v>560390.97021913028</v>
      </c>
      <c r="H523" s="108">
        <f t="shared" si="37"/>
        <v>754652.35</v>
      </c>
      <c r="I523" s="108">
        <f t="shared" si="37"/>
        <v>4878.5499999999993</v>
      </c>
      <c r="J523" s="108">
        <f t="shared" si="37"/>
        <v>0</v>
      </c>
      <c r="K523" s="108">
        <f t="shared" si="37"/>
        <v>0</v>
      </c>
      <c r="L523" s="89">
        <f t="shared" si="37"/>
        <v>2798899.4502191301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275">
        <v>34177.5</v>
      </c>
      <c r="G526" s="275">
        <v>12950.001841585947</v>
      </c>
      <c r="H526" s="275">
        <v>390652.28</v>
      </c>
      <c r="I526" s="275"/>
      <c r="J526" s="275"/>
      <c r="K526" s="18"/>
      <c r="L526" s="88">
        <f>SUM(F526:K526)</f>
        <v>437779.78184158599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275">
        <v>41554.36</v>
      </c>
      <c r="G527" s="275">
        <v>15745.125843783935</v>
      </c>
      <c r="H527" s="275">
        <v>801932.04999999993</v>
      </c>
      <c r="I527" s="275">
        <v>2238.15</v>
      </c>
      <c r="J527" s="275">
        <v>8818.91</v>
      </c>
      <c r="K527" s="18"/>
      <c r="L527" s="88">
        <f>SUM(F527:K527)</f>
        <v>870288.59584378393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75731.86</v>
      </c>
      <c r="G528" s="89">
        <f t="shared" ref="G528:L528" si="38">SUM(G525:G527)</f>
        <v>28695.12768536988</v>
      </c>
      <c r="H528" s="89">
        <f t="shared" si="38"/>
        <v>1192584.33</v>
      </c>
      <c r="I528" s="89">
        <f t="shared" si="38"/>
        <v>2238.15</v>
      </c>
      <c r="J528" s="89">
        <f t="shared" si="38"/>
        <v>8818.91</v>
      </c>
      <c r="K528" s="89">
        <f t="shared" si="38"/>
        <v>0</v>
      </c>
      <c r="L528" s="89">
        <f t="shared" si="38"/>
        <v>1308068.3776853699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276">
        <v>23940</v>
      </c>
      <c r="G531" s="276">
        <v>8067.78</v>
      </c>
      <c r="H531" s="18"/>
      <c r="I531" s="18"/>
      <c r="J531" s="18"/>
      <c r="K531" s="18"/>
      <c r="L531" s="88">
        <f>SUM(F531:K531)</f>
        <v>32007.78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276">
        <v>23940</v>
      </c>
      <c r="G532" s="276">
        <v>8067.78</v>
      </c>
      <c r="H532" s="18"/>
      <c r="I532" s="18"/>
      <c r="J532" s="18"/>
      <c r="K532" s="18"/>
      <c r="L532" s="88">
        <f>SUM(F532:K532)</f>
        <v>32007.78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47880</v>
      </c>
      <c r="G533" s="89">
        <f t="shared" ref="G533:L533" si="39">SUM(G530:G532)</f>
        <v>16135.56</v>
      </c>
      <c r="H533" s="89">
        <f t="shared" si="39"/>
        <v>0</v>
      </c>
      <c r="I533" s="89">
        <f t="shared" si="39"/>
        <v>0</v>
      </c>
      <c r="J533" s="89">
        <f t="shared" si="39"/>
        <v>0</v>
      </c>
      <c r="K533" s="89">
        <f t="shared" si="39"/>
        <v>0</v>
      </c>
      <c r="L533" s="89">
        <f t="shared" si="39"/>
        <v>64015.56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0">SUM(G535:G537)</f>
        <v>0</v>
      </c>
      <c r="H538" s="89">
        <f t="shared" si="40"/>
        <v>0</v>
      </c>
      <c r="I538" s="89">
        <f t="shared" si="40"/>
        <v>0</v>
      </c>
      <c r="J538" s="89">
        <f t="shared" si="40"/>
        <v>0</v>
      </c>
      <c r="K538" s="89">
        <f t="shared" si="40"/>
        <v>0</v>
      </c>
      <c r="L538" s="89">
        <f t="shared" si="40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277">
        <v>136260.91</v>
      </c>
      <c r="I541" s="18"/>
      <c r="J541" s="18"/>
      <c r="K541" s="18"/>
      <c r="L541" s="88">
        <f>SUM(F541:K541)</f>
        <v>136260.91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277">
        <v>251056.63</v>
      </c>
      <c r="I542" s="18"/>
      <c r="J542" s="18"/>
      <c r="K542" s="18"/>
      <c r="L542" s="88">
        <f>SUM(F542:K542)</f>
        <v>251056.63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1">SUM(G540:G542)</f>
        <v>0</v>
      </c>
      <c r="H543" s="193">
        <f t="shared" si="41"/>
        <v>387317.54000000004</v>
      </c>
      <c r="I543" s="193">
        <f t="shared" si="41"/>
        <v>0</v>
      </c>
      <c r="J543" s="193">
        <f t="shared" si="41"/>
        <v>0</v>
      </c>
      <c r="K543" s="193">
        <f t="shared" si="41"/>
        <v>0</v>
      </c>
      <c r="L543" s="193">
        <f t="shared" si="41"/>
        <v>387317.54000000004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1602589.44</v>
      </c>
      <c r="G544" s="89">
        <f t="shared" ref="G544:L544" si="42">G523+G528+G533+G538+G543</f>
        <v>605221.65790450026</v>
      </c>
      <c r="H544" s="89">
        <f t="shared" si="42"/>
        <v>2334554.2200000002</v>
      </c>
      <c r="I544" s="89">
        <f t="shared" si="42"/>
        <v>7116.6999999999989</v>
      </c>
      <c r="J544" s="89">
        <f t="shared" si="42"/>
        <v>8818.91</v>
      </c>
      <c r="K544" s="89">
        <f t="shared" si="42"/>
        <v>0</v>
      </c>
      <c r="L544" s="89">
        <f t="shared" si="42"/>
        <v>4558300.9279044997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0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1039378.8662449227</v>
      </c>
      <c r="G549" s="87">
        <f>L526</f>
        <v>437779.78184158599</v>
      </c>
      <c r="H549" s="87">
        <f>L531</f>
        <v>32007.78</v>
      </c>
      <c r="I549" s="87">
        <f>L536</f>
        <v>0</v>
      </c>
      <c r="J549" s="87">
        <f>L541</f>
        <v>136260.91</v>
      </c>
      <c r="K549" s="87">
        <f>SUM(F549:J549)</f>
        <v>1645427.3380865087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1759520.5839742075</v>
      </c>
      <c r="G550" s="87">
        <f>L527</f>
        <v>870288.59584378393</v>
      </c>
      <c r="H550" s="87">
        <f>L532</f>
        <v>32007.78</v>
      </c>
      <c r="I550" s="87">
        <f>L537</f>
        <v>0</v>
      </c>
      <c r="J550" s="87">
        <f>L542</f>
        <v>251056.63</v>
      </c>
      <c r="K550" s="87">
        <f>SUM(F550:J550)</f>
        <v>2912873.589817991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3">SUM(F548:F550)</f>
        <v>2798899.4502191301</v>
      </c>
      <c r="G551" s="89">
        <f t="shared" si="43"/>
        <v>1308068.3776853699</v>
      </c>
      <c r="H551" s="89">
        <f t="shared" si="43"/>
        <v>64015.56</v>
      </c>
      <c r="I551" s="89">
        <f t="shared" si="43"/>
        <v>0</v>
      </c>
      <c r="J551" s="89">
        <f t="shared" si="43"/>
        <v>387317.54000000004</v>
      </c>
      <c r="K551" s="89">
        <f t="shared" si="43"/>
        <v>4558300.9279044997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4">SUM(F556:F558)</f>
        <v>0</v>
      </c>
      <c r="G559" s="108">
        <f t="shared" si="44"/>
        <v>0</v>
      </c>
      <c r="H559" s="108">
        <f t="shared" si="44"/>
        <v>0</v>
      </c>
      <c r="I559" s="108">
        <f t="shared" si="44"/>
        <v>0</v>
      </c>
      <c r="J559" s="108">
        <f t="shared" si="44"/>
        <v>0</v>
      </c>
      <c r="K559" s="108">
        <f t="shared" si="44"/>
        <v>0</v>
      </c>
      <c r="L559" s="89">
        <f t="shared" si="44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5">SUM(F561:F563)</f>
        <v>0</v>
      </c>
      <c r="G564" s="89">
        <f t="shared" si="45"/>
        <v>0</v>
      </c>
      <c r="H564" s="89">
        <f t="shared" si="45"/>
        <v>0</v>
      </c>
      <c r="I564" s="89">
        <f t="shared" si="45"/>
        <v>0</v>
      </c>
      <c r="J564" s="89">
        <f t="shared" si="45"/>
        <v>0</v>
      </c>
      <c r="K564" s="89">
        <f t="shared" si="45"/>
        <v>0</v>
      </c>
      <c r="L564" s="89">
        <f t="shared" si="45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6">SUM(G566:G568)</f>
        <v>0</v>
      </c>
      <c r="H569" s="193">
        <f t="shared" si="46"/>
        <v>0</v>
      </c>
      <c r="I569" s="193">
        <f t="shared" si="46"/>
        <v>0</v>
      </c>
      <c r="J569" s="193">
        <f t="shared" si="46"/>
        <v>0</v>
      </c>
      <c r="K569" s="193">
        <f t="shared" si="46"/>
        <v>0</v>
      </c>
      <c r="L569" s="193">
        <f t="shared" si="46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7">G559+G564+G569</f>
        <v>0</v>
      </c>
      <c r="H570" s="89">
        <f t="shared" si="47"/>
        <v>0</v>
      </c>
      <c r="I570" s="89">
        <f t="shared" si="47"/>
        <v>0</v>
      </c>
      <c r="J570" s="89">
        <f t="shared" si="47"/>
        <v>0</v>
      </c>
      <c r="K570" s="89">
        <f t="shared" si="47"/>
        <v>0</v>
      </c>
      <c r="L570" s="89">
        <f t="shared" si="47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8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8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278">
        <v>180223.7</v>
      </c>
      <c r="H581" s="278">
        <v>342504</v>
      </c>
      <c r="I581" s="87">
        <f t="shared" si="48"/>
        <v>522727.7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278">
        <v>106623.8</v>
      </c>
      <c r="H582" s="278">
        <v>125300.85</v>
      </c>
      <c r="I582" s="87">
        <f t="shared" si="48"/>
        <v>231924.65000000002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278"/>
      <c r="H583" s="278">
        <v>42073.69</v>
      </c>
      <c r="I583" s="87">
        <f t="shared" si="48"/>
        <v>42073.69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/>
      <c r="I590" s="18">
        <v>192132.41</v>
      </c>
      <c r="J590" s="18">
        <v>209059.19</v>
      </c>
      <c r="K590" s="104">
        <f t="shared" ref="K590:K596" si="49">SUM(H590:J590)</f>
        <v>401191.6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>
        <v>139260.91</v>
      </c>
      <c r="J591" s="18">
        <v>251056.63</v>
      </c>
      <c r="K591" s="104">
        <f t="shared" si="49"/>
        <v>390317.54000000004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139546.22</v>
      </c>
      <c r="K592" s="104">
        <f t="shared" si="49"/>
        <v>139546.22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8433.5</v>
      </c>
      <c r="J593" s="18">
        <v>46705.89</v>
      </c>
      <c r="K593" s="104">
        <f t="shared" si="49"/>
        <v>55139.39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9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9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0</v>
      </c>
      <c r="I597" s="108">
        <f>SUM(I590:I596)</f>
        <v>339826.82</v>
      </c>
      <c r="J597" s="108">
        <f>SUM(J590:J596)</f>
        <v>646367.93000000005</v>
      </c>
      <c r="K597" s="108">
        <f>SUM(K590:K596)</f>
        <v>986194.75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>
        <f>34872.23-12164.6</f>
        <v>22707.630000000005</v>
      </c>
      <c r="J603" s="18">
        <f>145859.02+2370.13-22249.93</f>
        <v>125979.22</v>
      </c>
      <c r="K603" s="104">
        <f>SUM(H603:J603)</f>
        <v>148686.85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22707.630000000005</v>
      </c>
      <c r="J604" s="108">
        <f>SUM(J601:J603)</f>
        <v>125979.22</v>
      </c>
      <c r="K604" s="108">
        <f>SUM(K601:K603)</f>
        <v>148686.85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0">SUM(F610:F612)</f>
        <v>0</v>
      </c>
      <c r="G613" s="108">
        <f t="shared" si="50"/>
        <v>0</v>
      </c>
      <c r="H613" s="108">
        <f t="shared" si="50"/>
        <v>0</v>
      </c>
      <c r="I613" s="108">
        <f t="shared" si="50"/>
        <v>0</v>
      </c>
      <c r="J613" s="108">
        <f t="shared" si="50"/>
        <v>0</v>
      </c>
      <c r="K613" s="108">
        <f t="shared" si="50"/>
        <v>0</v>
      </c>
      <c r="L613" s="89">
        <f t="shared" si="50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1395619.8400000001</v>
      </c>
      <c r="H616" s="109">
        <f>SUM(F51)</f>
        <v>1395619.8400000001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986715.30999999994</v>
      </c>
      <c r="H617" s="109">
        <f>SUM(G51)</f>
        <v>986715.30999999994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45143.58</v>
      </c>
      <c r="H618" s="109">
        <f>SUM(H51)</f>
        <v>45143.58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31000</v>
      </c>
      <c r="H620" s="109">
        <f>SUM(J51)</f>
        <v>31000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299164.17</v>
      </c>
      <c r="H621" s="109">
        <f>F475</f>
        <v>299164.16999999806</v>
      </c>
      <c r="I621" s="121" t="s">
        <v>101</v>
      </c>
      <c r="J621" s="109">
        <f t="shared" ref="J621:J654" si="51">G621-H621</f>
        <v>1.9208528101444244E-9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188314.29</v>
      </c>
      <c r="H622" s="109">
        <f>G475</f>
        <v>188314.29000000004</v>
      </c>
      <c r="I622" s="121" t="s">
        <v>102</v>
      </c>
      <c r="J622" s="109">
        <f t="shared" si="51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31000</v>
      </c>
      <c r="H625" s="109">
        <f>J475</f>
        <v>31000</v>
      </c>
      <c r="I625" s="140" t="s">
        <v>105</v>
      </c>
      <c r="J625" s="109">
        <f t="shared" si="51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18946388.73</v>
      </c>
      <c r="H626" s="104">
        <f>SUM(F467)</f>
        <v>18946388.73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472375.78</v>
      </c>
      <c r="H627" s="104">
        <f>SUM(G467)</f>
        <v>472375.78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230268.07</v>
      </c>
      <c r="H628" s="104">
        <f>SUM(H467)</f>
        <v>230268.07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99151</v>
      </c>
      <c r="H630" s="104">
        <f>SUM(J467)</f>
        <v>99151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18801140.380000003</v>
      </c>
      <c r="H631" s="104">
        <f>SUM(F471)</f>
        <v>18801140.380000003</v>
      </c>
      <c r="I631" s="140" t="s">
        <v>111</v>
      </c>
      <c r="J631" s="109">
        <f t="shared" si="51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230268.07</v>
      </c>
      <c r="H632" s="104">
        <f>SUM(H471)</f>
        <v>230268.07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247403.89</v>
      </c>
      <c r="H633" s="104">
        <f>I368</f>
        <v>247403.89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512706.49</v>
      </c>
      <c r="H634" s="104">
        <f>SUM(G471)</f>
        <v>512706.49</v>
      </c>
      <c r="I634" s="140" t="s">
        <v>114</v>
      </c>
      <c r="J634" s="109">
        <f t="shared" si="51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1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99151</v>
      </c>
      <c r="H636" s="164">
        <f>SUM(J467)</f>
        <v>99151</v>
      </c>
      <c r="I636" s="165" t="s">
        <v>110</v>
      </c>
      <c r="J636" s="151">
        <f t="shared" si="51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68151</v>
      </c>
      <c r="H637" s="164">
        <f>SUM(J471)</f>
        <v>68151</v>
      </c>
      <c r="I637" s="165" t="s">
        <v>117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1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31000</v>
      </c>
      <c r="H639" s="104">
        <f>SUM(G460)</f>
        <v>31000</v>
      </c>
      <c r="I639" s="140" t="s">
        <v>858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31000</v>
      </c>
      <c r="H641" s="104">
        <f>SUM(I460)</f>
        <v>31000</v>
      </c>
      <c r="I641" s="140" t="s">
        <v>860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99151</v>
      </c>
      <c r="H644" s="104">
        <f>G407</f>
        <v>99151</v>
      </c>
      <c r="I644" s="140" t="s">
        <v>482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99151</v>
      </c>
      <c r="H645" s="104">
        <f>L407</f>
        <v>99151</v>
      </c>
      <c r="I645" s="140" t="s">
        <v>478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986194.75</v>
      </c>
      <c r="H646" s="104">
        <f>L207+L225+L243</f>
        <v>986194.74999999988</v>
      </c>
      <c r="I646" s="140" t="s">
        <v>397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148686.85</v>
      </c>
      <c r="H647" s="104">
        <f>(J256+J337)-(J254+J335)</f>
        <v>148686.84999999998</v>
      </c>
      <c r="I647" s="140" t="s">
        <v>703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0</v>
      </c>
      <c r="H648" s="104">
        <f>H597</f>
        <v>0</v>
      </c>
      <c r="I648" s="140" t="s">
        <v>389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339826.81999999995</v>
      </c>
      <c r="H649" s="104">
        <f>I597</f>
        <v>339826.82</v>
      </c>
      <c r="I649" s="140" t="s">
        <v>390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646367.92999999993</v>
      </c>
      <c r="H650" s="104">
        <f>J597</f>
        <v>646367.93000000005</v>
      </c>
      <c r="I650" s="140" t="s">
        <v>391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99151</v>
      </c>
      <c r="H654" s="104">
        <f>K265+K346</f>
        <v>99151</v>
      </c>
      <c r="I654" s="140" t="s">
        <v>401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0</v>
      </c>
      <c r="G659" s="19">
        <f>(L228+L308+L358)</f>
        <v>6015376.9500000011</v>
      </c>
      <c r="H659" s="19">
        <f>(L246+L327+L359)</f>
        <v>11407759.74</v>
      </c>
      <c r="I659" s="19">
        <f>SUM(F659:H659)</f>
        <v>17423136.690000001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133669.49590841925</v>
      </c>
      <c r="H660" s="19">
        <f>(L359/IF(SUM(L357:L359)=0,1,SUM(L357:L359))*(SUM(G96:G109)))</f>
        <v>281969.75409158075</v>
      </c>
      <c r="I660" s="19">
        <f>SUM(F660:H660)</f>
        <v>415639.25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0</v>
      </c>
      <c r="G661" s="19">
        <f>(L225+L305)-(J225+J305)</f>
        <v>339826.81999999995</v>
      </c>
      <c r="H661" s="19">
        <f>(L243+L324)-(J243+J324)</f>
        <v>646367.92999999993</v>
      </c>
      <c r="I661" s="19">
        <f>SUM(F661:H661)</f>
        <v>986194.74999999988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0</v>
      </c>
      <c r="G662" s="199">
        <f>SUM(G574:G586)+SUM(I601:I603)+L611</f>
        <v>309555.13</v>
      </c>
      <c r="H662" s="199">
        <f>SUM(H574:H586)+SUM(J601:J603)+L612</f>
        <v>635857.76</v>
      </c>
      <c r="I662" s="19">
        <f>SUM(F662:H662)</f>
        <v>945412.89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0</v>
      </c>
      <c r="G663" s="19">
        <f>G659-SUM(G660:G662)</f>
        <v>5232325.5040915823</v>
      </c>
      <c r="H663" s="19">
        <f>H659-SUM(H660:H662)</f>
        <v>9843564.2959084194</v>
      </c>
      <c r="I663" s="19">
        <f>I659-SUM(I660:I662)</f>
        <v>15075889.800000001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/>
      <c r="G664" s="248">
        <v>408.7</v>
      </c>
      <c r="H664" s="248">
        <v>847.5</v>
      </c>
      <c r="I664" s="19">
        <f>SUM(F664:H664)</f>
        <v>1256.2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>
        <f>ROUND(G663/G664,2)</f>
        <v>12802.36</v>
      </c>
      <c r="H666" s="19">
        <f>ROUND(H663/H664,2)</f>
        <v>11614.83</v>
      </c>
      <c r="I666" s="19">
        <f>ROUND(I663/I664,2)</f>
        <v>12001.19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-14.17</v>
      </c>
      <c r="I669" s="19">
        <f>SUM(F669:H669)</f>
        <v>-14.17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>
        <f>ROUND((G663+G668)/(G664+G669),2)</f>
        <v>12802.36</v>
      </c>
      <c r="H671" s="19">
        <f>ROUND((H663+H668)/(H664+H669),2)</f>
        <v>11812.32</v>
      </c>
      <c r="I671" s="19">
        <f>ROUND((I663+I668)/(I664+I669),2)</f>
        <v>12138.1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A43" sqref="A4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Hollis Brookline Cooperative </v>
      </c>
      <c r="C1" s="238" t="s">
        <v>839</v>
      </c>
    </row>
    <row r="2" spans="1:3" x14ac:dyDescent="0.2">
      <c r="A2" s="233"/>
      <c r="B2" s="232"/>
    </row>
    <row r="3" spans="1:3" x14ac:dyDescent="0.2">
      <c r="A3" s="282" t="s">
        <v>784</v>
      </c>
      <c r="B3" s="282"/>
      <c r="C3" s="282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81" t="s">
        <v>783</v>
      </c>
      <c r="C6" s="281"/>
    </row>
    <row r="7" spans="1:3" x14ac:dyDescent="0.2">
      <c r="A7" s="239" t="s">
        <v>786</v>
      </c>
      <c r="B7" s="279" t="s">
        <v>782</v>
      </c>
      <c r="C7" s="280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4920533.22</v>
      </c>
      <c r="C9" s="229">
        <f>'DOE25'!G196+'DOE25'!G214+'DOE25'!G232+'DOE25'!G275+'DOE25'!G294+'DOE25'!G313</f>
        <v>1862416.45</v>
      </c>
    </row>
    <row r="10" spans="1:3" x14ac:dyDescent="0.2">
      <c r="A10" t="s">
        <v>779</v>
      </c>
      <c r="B10" s="240">
        <f>B9-B12</f>
        <v>4811791.97</v>
      </c>
      <c r="C10" s="240">
        <f>B10/B13*C9</f>
        <v>1821258.0056325495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108741.25</v>
      </c>
      <c r="C12" s="240">
        <f>C9-C10</f>
        <v>41158.444367450429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4920533.22</v>
      </c>
      <c r="C13" s="231">
        <f>SUM(C10:C12)</f>
        <v>1862416.45</v>
      </c>
    </row>
    <row r="14" spans="1:3" x14ac:dyDescent="0.2">
      <c r="B14" s="230"/>
      <c r="C14" s="230"/>
    </row>
    <row r="15" spans="1:3" x14ac:dyDescent="0.2">
      <c r="B15" s="281" t="s">
        <v>783</v>
      </c>
      <c r="C15" s="281"/>
    </row>
    <row r="16" spans="1:3" x14ac:dyDescent="0.2">
      <c r="A16" s="239" t="s">
        <v>787</v>
      </c>
      <c r="B16" s="279" t="s">
        <v>707</v>
      </c>
      <c r="C16" s="280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1663752.5799999998</v>
      </c>
      <c r="C18" s="229">
        <f>'DOE25'!G197+'DOE25'!G215+'DOE25'!G233+'DOE25'!G276+'DOE25'!G295+'DOE25'!G314</f>
        <v>573066.83000000007</v>
      </c>
    </row>
    <row r="19" spans="1:3" x14ac:dyDescent="0.2">
      <c r="A19" t="s">
        <v>779</v>
      </c>
      <c r="B19" s="240">
        <f>657421.7+(1663752.58-1425784.78)</f>
        <v>895389.5</v>
      </c>
      <c r="C19" s="240">
        <f>B19/B$22*C$18</f>
        <v>308410.05360321369</v>
      </c>
    </row>
    <row r="20" spans="1:3" x14ac:dyDescent="0.2">
      <c r="A20" t="s">
        <v>780</v>
      </c>
      <c r="B20" s="240">
        <v>657117.41</v>
      </c>
      <c r="C20" s="240">
        <f t="shared" ref="C20:C21" si="0">B20/B$22*C$18</f>
        <v>226339.05762989732</v>
      </c>
    </row>
    <row r="21" spans="1:3" x14ac:dyDescent="0.2">
      <c r="A21" t="s">
        <v>781</v>
      </c>
      <c r="B21" s="240">
        <v>111245.67</v>
      </c>
      <c r="C21" s="240">
        <f t="shared" si="0"/>
        <v>38317.718766889062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1663752.58</v>
      </c>
      <c r="C22" s="231">
        <f>SUM(C19:C21)</f>
        <v>573066.83000000007</v>
      </c>
    </row>
    <row r="23" spans="1:3" x14ac:dyDescent="0.2">
      <c r="B23" s="230"/>
      <c r="C23" s="230"/>
    </row>
    <row r="24" spans="1:3" x14ac:dyDescent="0.2">
      <c r="B24" s="281" t="s">
        <v>783</v>
      </c>
      <c r="C24" s="281"/>
    </row>
    <row r="25" spans="1:3" x14ac:dyDescent="0.2">
      <c r="A25" s="239" t="s">
        <v>788</v>
      </c>
      <c r="B25" s="279" t="s">
        <v>708</v>
      </c>
      <c r="C25" s="280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25192</v>
      </c>
      <c r="C27" s="234">
        <f>'DOE25'!G198+'DOE25'!G216+'DOE25'!G234+'DOE25'!G277+'DOE25'!G296+'DOE25'!G315</f>
        <v>9616.7900000000009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25192</v>
      </c>
      <c r="C30" s="240">
        <f>C27</f>
        <v>9616.7900000000009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25192</v>
      </c>
      <c r="C31" s="231">
        <f>SUM(C28:C30)</f>
        <v>9616.7900000000009</v>
      </c>
    </row>
    <row r="33" spans="1:3" x14ac:dyDescent="0.2">
      <c r="B33" s="281" t="s">
        <v>783</v>
      </c>
      <c r="C33" s="281"/>
    </row>
    <row r="34" spans="1:3" x14ac:dyDescent="0.2">
      <c r="A34" s="239" t="s">
        <v>789</v>
      </c>
      <c r="B34" s="279" t="s">
        <v>709</v>
      </c>
      <c r="C34" s="280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322740.77</v>
      </c>
      <c r="C36" s="235">
        <f>'DOE25'!G199+'DOE25'!G217+'DOE25'!G235+'DOE25'!G278+'DOE25'!G297+'DOE25'!G316</f>
        <v>122837.93</v>
      </c>
    </row>
    <row r="37" spans="1:3" x14ac:dyDescent="0.2">
      <c r="A37" t="s">
        <v>779</v>
      </c>
      <c r="B37" s="240">
        <v>74263</v>
      </c>
      <c r="C37" s="240">
        <f>C36*0.37</f>
        <v>45450.034099999997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248477.77</v>
      </c>
      <c r="C39" s="240">
        <f>C36-C37</f>
        <v>77387.895900000003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322740.77</v>
      </c>
      <c r="C40" s="231">
        <f>SUM(C37:C39)</f>
        <v>122837.93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A43" sqref="A43"/>
      <selection pane="bottomLeft" activeCell="A43" sqref="A4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1" t="s">
        <v>790</v>
      </c>
      <c r="B1" s="286"/>
      <c r="C1" s="286"/>
      <c r="D1" s="286"/>
      <c r="E1" s="286"/>
      <c r="F1" s="286"/>
      <c r="G1" s="286"/>
      <c r="H1" s="286"/>
      <c r="I1" s="181"/>
    </row>
    <row r="2" spans="1:9" x14ac:dyDescent="0.2">
      <c r="A2" s="33" t="s">
        <v>717</v>
      </c>
      <c r="B2" s="265" t="str">
        <f>'DOE25'!A2</f>
        <v xml:space="preserve">Hollis Brookline Cooperative </v>
      </c>
      <c r="C2" s="181"/>
      <c r="D2" s="181" t="s">
        <v>792</v>
      </c>
      <c r="E2" s="181" t="s">
        <v>794</v>
      </c>
      <c r="F2" s="283" t="s">
        <v>821</v>
      </c>
      <c r="G2" s="284"/>
      <c r="H2" s="285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10854615.49</v>
      </c>
      <c r="D5" s="20">
        <f>SUM('DOE25'!L196:L199)+SUM('DOE25'!L214:L217)+SUM('DOE25'!L232:L235)-F5-G5</f>
        <v>10741406.140000001</v>
      </c>
      <c r="E5" s="243"/>
      <c r="F5" s="255">
        <f>SUM('DOE25'!J196:J199)+SUM('DOE25'!J214:J217)+SUM('DOE25'!J232:J235)</f>
        <v>86848.35</v>
      </c>
      <c r="G5" s="53">
        <f>SUM('DOE25'!K196:K199)+SUM('DOE25'!K214:K217)+SUM('DOE25'!K232:K235)</f>
        <v>26361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1391835.17</v>
      </c>
      <c r="D6" s="20">
        <f>'DOE25'!L201+'DOE25'!L219+'DOE25'!L237-F6-G6</f>
        <v>1391015.17</v>
      </c>
      <c r="E6" s="243"/>
      <c r="F6" s="255">
        <f>'DOE25'!J201+'DOE25'!J219+'DOE25'!J237</f>
        <v>0</v>
      </c>
      <c r="G6" s="53">
        <f>'DOE25'!K201+'DOE25'!K219+'DOE25'!K237</f>
        <v>820</v>
      </c>
      <c r="H6" s="259"/>
    </row>
    <row r="7" spans="1:9" x14ac:dyDescent="0.2">
      <c r="A7" s="32">
        <v>2200</v>
      </c>
      <c r="B7" t="s">
        <v>834</v>
      </c>
      <c r="C7" s="245">
        <f t="shared" si="0"/>
        <v>431678.55</v>
      </c>
      <c r="D7" s="20">
        <f>'DOE25'!L202+'DOE25'!L220+'DOE25'!L238-F7-G7</f>
        <v>376855.01</v>
      </c>
      <c r="E7" s="243"/>
      <c r="F7" s="255">
        <f>'DOE25'!J202+'DOE25'!J220+'DOE25'!J238</f>
        <v>54803.54</v>
      </c>
      <c r="G7" s="53">
        <f>'DOE25'!K202+'DOE25'!K220+'DOE25'!K238</f>
        <v>20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546758.98</v>
      </c>
      <c r="D8" s="243"/>
      <c r="E8" s="20">
        <f>'DOE25'!L203+'DOE25'!L221+'DOE25'!L239-F8-G8-D9-D11</f>
        <v>542146.86</v>
      </c>
      <c r="F8" s="255">
        <f>'DOE25'!J203+'DOE25'!J221+'DOE25'!J239</f>
        <v>4612.12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11236.74</v>
      </c>
      <c r="D9" s="244">
        <v>11236.74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13600</v>
      </c>
      <c r="D10" s="243"/>
      <c r="E10" s="244">
        <v>13600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202224.03</v>
      </c>
      <c r="D11" s="244">
        <v>202224.03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1104213.17</v>
      </c>
      <c r="D12" s="20">
        <f>'DOE25'!L204+'DOE25'!L222+'DOE25'!L240-F12-G12</f>
        <v>1090837.02</v>
      </c>
      <c r="E12" s="243"/>
      <c r="F12" s="255">
        <f>'DOE25'!J204+'DOE25'!J222+'DOE25'!J240</f>
        <v>0</v>
      </c>
      <c r="G12" s="53">
        <f>'DOE25'!K204+'DOE25'!K222+'DOE25'!K240</f>
        <v>13376.15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-122898.40000000001</v>
      </c>
      <c r="D13" s="243"/>
      <c r="E13" s="20">
        <f>'DOE25'!L205+'DOE25'!L223+'DOE25'!L241-F13-G13</f>
        <v>-125434.71</v>
      </c>
      <c r="F13" s="255">
        <f>'DOE25'!J205+'DOE25'!J223+'DOE25'!J241</f>
        <v>0</v>
      </c>
      <c r="G13" s="53">
        <f>'DOE25'!K205+'DOE25'!K223+'DOE25'!K241</f>
        <v>2536.31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1274303.6499999999</v>
      </c>
      <c r="D14" s="20">
        <f>'DOE25'!L206+'DOE25'!L224+'DOE25'!L242-F14-G14</f>
        <v>1271880.8099999998</v>
      </c>
      <c r="E14" s="243"/>
      <c r="F14" s="255">
        <f>'DOE25'!J206+'DOE25'!J224+'DOE25'!J242</f>
        <v>2422.84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986194.74999999988</v>
      </c>
      <c r="D15" s="20">
        <f>'DOE25'!L207+'DOE25'!L225+'DOE25'!L243-F15-G15</f>
        <v>986194.74999999988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134382</v>
      </c>
      <c r="D22" s="243"/>
      <c r="E22" s="243"/>
      <c r="F22" s="255">
        <f>'DOE25'!L254+'DOE25'!L335</f>
        <v>134382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1887445.25</v>
      </c>
      <c r="D25" s="243"/>
      <c r="E25" s="243"/>
      <c r="F25" s="258"/>
      <c r="G25" s="256"/>
      <c r="H25" s="257">
        <f>'DOE25'!L259+'DOE25'!L260+'DOE25'!L340+'DOE25'!L341</f>
        <v>1887445.25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285684.99</v>
      </c>
      <c r="D29" s="20">
        <f>'DOE25'!L357+'DOE25'!L358+'DOE25'!L359-'DOE25'!I366-F29-G29</f>
        <v>253010.94</v>
      </c>
      <c r="E29" s="243"/>
      <c r="F29" s="255">
        <f>'DOE25'!J357+'DOE25'!J358+'DOE25'!J359</f>
        <v>32674.050000000003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230268.07</v>
      </c>
      <c r="D31" s="20">
        <f>'DOE25'!L289+'DOE25'!L308+'DOE25'!L327+'DOE25'!L332+'DOE25'!L333+'DOE25'!L334-F31-G31</f>
        <v>228468.06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1800.01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16553128.67</v>
      </c>
      <c r="E33" s="246">
        <f>SUM(E5:E31)</f>
        <v>430312.14999999997</v>
      </c>
      <c r="F33" s="246">
        <f>SUM(F5:F31)</f>
        <v>315742.89999999997</v>
      </c>
      <c r="G33" s="246">
        <f>SUM(G5:G31)</f>
        <v>44913.47</v>
      </c>
      <c r="H33" s="246">
        <f>SUM(H5:H31)</f>
        <v>1887445.25</v>
      </c>
    </row>
    <row r="35" spans="2:8" ht="12" thickBot="1" x14ac:dyDescent="0.25">
      <c r="B35" s="253" t="s">
        <v>847</v>
      </c>
      <c r="D35" s="254">
        <f>E33</f>
        <v>430312.14999999997</v>
      </c>
      <c r="E35" s="249"/>
    </row>
    <row r="36" spans="2:8" ht="12" thickTop="1" x14ac:dyDescent="0.2">
      <c r="B36" t="s">
        <v>815</v>
      </c>
      <c r="D36" s="20">
        <f>D33</f>
        <v>16553128.67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2" activePane="bottomLeft" state="frozen"/>
      <selection activeCell="A43" sqref="A43"/>
      <selection pane="bottomLeft" activeCell="A43" sqref="A4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Hollis Brookline Cooperative 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814578</v>
      </c>
      <c r="D8" s="95">
        <f>'DOE25'!G9</f>
        <v>86408.23</v>
      </c>
      <c r="E8" s="95">
        <f>'DOE25'!H9</f>
        <v>0</v>
      </c>
      <c r="F8" s="95">
        <f>'DOE25'!I9</f>
        <v>0</v>
      </c>
      <c r="G8" s="95">
        <f>'DOE25'!J9</f>
        <v>31000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7809.21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528165.29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15039.8</v>
      </c>
      <c r="D12" s="95">
        <f>'DOE25'!G13</f>
        <v>885879.69</v>
      </c>
      <c r="E12" s="95">
        <f>'DOE25'!H13</f>
        <v>44423.58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258.54000000000008</v>
      </c>
      <c r="D13" s="95">
        <f>'DOE25'!G14</f>
        <v>7589.61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6837.78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29769</v>
      </c>
      <c r="D16" s="95">
        <f>'DOE25'!G17</f>
        <v>0</v>
      </c>
      <c r="E16" s="95">
        <f>'DOE25'!H17</f>
        <v>720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1395619.8400000001</v>
      </c>
      <c r="D18" s="41">
        <f>SUM(D8:D17)</f>
        <v>986715.30999999994</v>
      </c>
      <c r="E18" s="41">
        <f>SUM(E8:E17)</f>
        <v>45143.58</v>
      </c>
      <c r="F18" s="41">
        <f>SUM(F8:F17)</f>
        <v>0</v>
      </c>
      <c r="G18" s="41">
        <f>SUM(G8:G17)</f>
        <v>31000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665014.39</v>
      </c>
      <c r="D21" s="95">
        <f>'DOE25'!G22</f>
        <v>780083.44</v>
      </c>
      <c r="E21" s="95">
        <f>'DOE25'!H22</f>
        <v>36956.71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65903.44</v>
      </c>
      <c r="D22" s="95">
        <f>'DOE25'!G23</f>
        <v>0</v>
      </c>
      <c r="E22" s="95">
        <f>'DOE25'!H23</f>
        <v>2842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300926.87</v>
      </c>
      <c r="D23" s="95">
        <f>'DOE25'!G24</f>
        <v>1556</v>
      </c>
      <c r="E23" s="95">
        <f>'DOE25'!H24</f>
        <v>5344.87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64610.97</v>
      </c>
      <c r="D27" s="95">
        <f>'DOE25'!G28</f>
        <v>1005.59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15755.99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1096455.6700000002</v>
      </c>
      <c r="D31" s="41">
        <f>SUM(D21:D30)</f>
        <v>798401.0199999999</v>
      </c>
      <c r="E31" s="41">
        <f>SUM(E21:E30)</f>
        <v>45143.58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6837.78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29769.200000000001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181476.51</v>
      </c>
      <c r="E46" s="95">
        <f>'DOE25'!H47</f>
        <v>0</v>
      </c>
      <c r="F46" s="95">
        <f>'DOE25'!I47</f>
        <v>0</v>
      </c>
      <c r="G46" s="95">
        <f>'DOE25'!J47</f>
        <v>31000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42025.17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172369.8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299164.17</v>
      </c>
      <c r="D49" s="41">
        <f>SUM(D34:D48)</f>
        <v>188314.29</v>
      </c>
      <c r="E49" s="41">
        <f>SUM(E34:E48)</f>
        <v>0</v>
      </c>
      <c r="F49" s="41">
        <f>SUM(F34:F48)</f>
        <v>0</v>
      </c>
      <c r="G49" s="41">
        <f>SUM(G34:G48)</f>
        <v>31000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1395619.8400000001</v>
      </c>
      <c r="D50" s="41">
        <f>D49+D31</f>
        <v>986715.30999999994</v>
      </c>
      <c r="E50" s="41">
        <f>E49+E31</f>
        <v>45143.58</v>
      </c>
      <c r="F50" s="41">
        <f>F49+F31</f>
        <v>0</v>
      </c>
      <c r="G50" s="41">
        <f>G49+G31</f>
        <v>31000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13140287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60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3942.06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415639.25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86494.91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90496.97</v>
      </c>
      <c r="D61" s="130">
        <f>SUM(D56:D60)</f>
        <v>415639.25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13230783.970000001</v>
      </c>
      <c r="D62" s="22">
        <f>D55+D61</f>
        <v>415639.25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2918544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2135945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5054489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395638.88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157167.76999999999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4320.91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3601.69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557127.56000000006</v>
      </c>
      <c r="D77" s="130">
        <f>SUM(D71:D76)</f>
        <v>3601.69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5611616.5600000005</v>
      </c>
      <c r="D80" s="130">
        <f>SUM(D78:D79)+D77+D69</f>
        <v>3601.69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98017.49</v>
      </c>
      <c r="D87" s="95">
        <f>SUM('DOE25'!G152:G160)</f>
        <v>53134.84</v>
      </c>
      <c r="E87" s="95">
        <f>SUM('DOE25'!H152:H160)</f>
        <v>230268.07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98017.49</v>
      </c>
      <c r="D90" s="131">
        <f>SUM(D84:D89)</f>
        <v>53134.84</v>
      </c>
      <c r="E90" s="131">
        <f>SUM(E84:E89)</f>
        <v>230268.07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99151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5970.71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5970.71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99151</v>
      </c>
    </row>
    <row r="103" spans="1:7" ht="12.75" thickTop="1" thickBot="1" x14ac:dyDescent="0.25">
      <c r="A103" s="33" t="s">
        <v>765</v>
      </c>
      <c r="C103" s="86">
        <f>C62+C80+C90+C102</f>
        <v>18946388.73</v>
      </c>
      <c r="D103" s="86">
        <f>D62+D80+D90+D102</f>
        <v>472375.78</v>
      </c>
      <c r="E103" s="86">
        <f>E62+E80+E90+E102</f>
        <v>230268.07</v>
      </c>
      <c r="F103" s="86">
        <f>F62+F80+F90+F102</f>
        <v>0</v>
      </c>
      <c r="G103" s="86">
        <f>G62+G80+G102</f>
        <v>99151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7001888.9000000004</v>
      </c>
      <c r="D108" s="24" t="s">
        <v>289</v>
      </c>
      <c r="E108" s="95">
        <f>('DOE25'!L275)+('DOE25'!L294)+('DOE25'!L313)</f>
        <v>17013.43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3210576.7699999996</v>
      </c>
      <c r="D109" s="24" t="s">
        <v>289</v>
      </c>
      <c r="E109" s="95">
        <f>('DOE25'!L276)+('DOE25'!L295)+('DOE25'!L314)</f>
        <v>213254.64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82029.429999999993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560120.39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10854615.49</v>
      </c>
      <c r="D114" s="86">
        <f>SUM(D108:D113)</f>
        <v>0</v>
      </c>
      <c r="E114" s="86">
        <f>SUM(E108:E113)</f>
        <v>230268.07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1391835.17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431678.55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760219.75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1104213.17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-122898.40000000001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1274303.6499999999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986194.74999999988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512706.49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5825546.6399999997</v>
      </c>
      <c r="D127" s="86">
        <f>SUM(D117:D126)</f>
        <v>512706.49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134382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1000829.39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886615.86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99151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2120978.25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18801140.379999999</v>
      </c>
      <c r="D144" s="86">
        <f>(D114+D127+D143)</f>
        <v>512706.49</v>
      </c>
      <c r="E144" s="86">
        <f>(E114+E127+E143)</f>
        <v>230268.07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10</v>
      </c>
      <c r="D150" s="153">
        <f>'DOE25'!H489</f>
        <v>15</v>
      </c>
      <c r="E150" s="153">
        <f>'DOE25'!I489</f>
        <v>20</v>
      </c>
      <c r="F150" s="153">
        <f>'DOE25'!J489</f>
        <v>20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08/04</v>
      </c>
      <c r="C151" s="152" t="str">
        <f>'DOE25'!G490</f>
        <v>01/03</v>
      </c>
      <c r="D151" s="152" t="str">
        <f>'DOE25'!H490</f>
        <v>08/00</v>
      </c>
      <c r="E151" s="152" t="str">
        <f>'DOE25'!I490</f>
        <v>08/96</v>
      </c>
      <c r="F151" s="152" t="str">
        <f>'DOE25'!J490</f>
        <v>8/96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08/24</v>
      </c>
      <c r="C152" s="152" t="str">
        <f>'DOE25'!G491</f>
        <v>01/13</v>
      </c>
      <c r="D152" s="152" t="str">
        <f>'DOE25'!H491</f>
        <v>08/15</v>
      </c>
      <c r="E152" s="152" t="str">
        <f>'DOE25'!I491</f>
        <v>08/16</v>
      </c>
      <c r="F152" s="152" t="str">
        <f>'DOE25'!J491</f>
        <v>08/16</v>
      </c>
      <c r="G152" s="24" t="s">
        <v>289</v>
      </c>
    </row>
    <row r="153" spans="1:9" x14ac:dyDescent="0.2">
      <c r="A153" s="136" t="s">
        <v>30</v>
      </c>
      <c r="B153" s="137">
        <f>'DOE25'!F492</f>
        <v>7703400</v>
      </c>
      <c r="C153" s="137">
        <f>'DOE25'!G492</f>
        <v>650000</v>
      </c>
      <c r="D153" s="137">
        <f>'DOE25'!H492</f>
        <v>3200000</v>
      </c>
      <c r="E153" s="137">
        <f>'DOE25'!I492</f>
        <v>8100000</v>
      </c>
      <c r="F153" s="137">
        <f>'DOE25'!J492</f>
        <v>2700000</v>
      </c>
      <c r="G153" s="24" t="s">
        <v>289</v>
      </c>
    </row>
    <row r="154" spans="1:9" x14ac:dyDescent="0.2">
      <c r="A154" s="136" t="s">
        <v>31</v>
      </c>
      <c r="B154" s="137">
        <f>'DOE25'!F493</f>
        <v>4.54</v>
      </c>
      <c r="C154" s="137">
        <f>'DOE25'!G493</f>
        <v>4.25</v>
      </c>
      <c r="D154" s="137">
        <f>'DOE25'!H493</f>
        <v>5.2</v>
      </c>
      <c r="E154" s="137">
        <f>'DOE25'!I493</f>
        <v>5.71</v>
      </c>
      <c r="F154" s="137">
        <f>'DOE25'!J493</f>
        <v>5.71</v>
      </c>
      <c r="G154" s="24" t="s">
        <v>289</v>
      </c>
    </row>
    <row r="155" spans="1:9" x14ac:dyDescent="0.2">
      <c r="A155" s="22" t="s">
        <v>32</v>
      </c>
      <c r="B155" s="137">
        <f>'DOE25'!F494</f>
        <v>5820000</v>
      </c>
      <c r="C155" s="137">
        <f>'DOE25'!G494</f>
        <v>65000</v>
      </c>
      <c r="D155" s="137">
        <f>'DOE25'!H494</f>
        <v>612886</v>
      </c>
      <c r="E155" s="137">
        <f>'DOE25'!I494</f>
        <v>1216254</v>
      </c>
      <c r="F155" s="137">
        <f>'DOE25'!J494</f>
        <v>985000</v>
      </c>
      <c r="G155" s="138">
        <f>SUM(B155:F155)</f>
        <v>8699140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325000</v>
      </c>
      <c r="C157" s="137">
        <f>'DOE25'!G496</f>
        <v>65000</v>
      </c>
      <c r="D157" s="137">
        <f>'DOE25'!H496</f>
        <v>164517</v>
      </c>
      <c r="E157" s="137">
        <f>'DOE25'!I496</f>
        <v>271313</v>
      </c>
      <c r="F157" s="137">
        <f>'DOE25'!J496</f>
        <v>175000</v>
      </c>
      <c r="G157" s="138">
        <f t="shared" si="0"/>
        <v>1000830</v>
      </c>
    </row>
    <row r="158" spans="1:9" x14ac:dyDescent="0.2">
      <c r="A158" s="22" t="s">
        <v>35</v>
      </c>
      <c r="B158" s="137">
        <f>'DOE25'!F497</f>
        <v>5495000</v>
      </c>
      <c r="C158" s="137">
        <f>'DOE25'!G497</f>
        <v>0</v>
      </c>
      <c r="D158" s="137">
        <f>'DOE25'!H497</f>
        <v>448369</v>
      </c>
      <c r="E158" s="137">
        <f>'DOE25'!I497</f>
        <v>944941</v>
      </c>
      <c r="F158" s="137">
        <f>'DOE25'!J497</f>
        <v>810000</v>
      </c>
      <c r="G158" s="138">
        <f t="shared" si="0"/>
        <v>7698310</v>
      </c>
    </row>
    <row r="159" spans="1:9" x14ac:dyDescent="0.2">
      <c r="A159" s="22" t="s">
        <v>36</v>
      </c>
      <c r="B159" s="137">
        <f>'DOE25'!F498</f>
        <v>2004746</v>
      </c>
      <c r="C159" s="137">
        <f>'DOE25'!G498</f>
        <v>0</v>
      </c>
      <c r="D159" s="137">
        <f>'DOE25'!H498</f>
        <v>611933</v>
      </c>
      <c r="E159" s="137">
        <f>'DOE25'!I498</f>
        <v>1774572</v>
      </c>
      <c r="F159" s="137">
        <f>'DOE25'!J498</f>
        <v>148206</v>
      </c>
      <c r="G159" s="138">
        <f t="shared" si="0"/>
        <v>4539457</v>
      </c>
    </row>
    <row r="160" spans="1:9" x14ac:dyDescent="0.2">
      <c r="A160" s="22" t="s">
        <v>37</v>
      </c>
      <c r="B160" s="137">
        <f>'DOE25'!F499</f>
        <v>7499746</v>
      </c>
      <c r="C160" s="137">
        <f>'DOE25'!G499</f>
        <v>0</v>
      </c>
      <c r="D160" s="137">
        <f>'DOE25'!H499</f>
        <v>1060302</v>
      </c>
      <c r="E160" s="137">
        <f>'DOE25'!I499</f>
        <v>2719513</v>
      </c>
      <c r="F160" s="137">
        <f>'DOE25'!J499</f>
        <v>958206</v>
      </c>
      <c r="G160" s="138">
        <f t="shared" si="0"/>
        <v>12237767</v>
      </c>
    </row>
    <row r="161" spans="1:7" x14ac:dyDescent="0.2">
      <c r="A161" s="22" t="s">
        <v>38</v>
      </c>
      <c r="B161" s="137">
        <f>'DOE25'!F500</f>
        <v>345000</v>
      </c>
      <c r="C161" s="137">
        <f>'DOE25'!G500</f>
        <v>0</v>
      </c>
      <c r="D161" s="137">
        <f>'DOE25'!H500</f>
        <v>157065</v>
      </c>
      <c r="E161" s="137">
        <f>'DOE25'!I500</f>
        <v>256076</v>
      </c>
      <c r="F161" s="137">
        <f>'DOE25'!J500</f>
        <v>185000</v>
      </c>
      <c r="G161" s="138">
        <f t="shared" si="0"/>
        <v>943141</v>
      </c>
    </row>
    <row r="162" spans="1:7" x14ac:dyDescent="0.2">
      <c r="A162" s="22" t="s">
        <v>39</v>
      </c>
      <c r="B162" s="137">
        <f>'DOE25'!F501</f>
        <v>273159</v>
      </c>
      <c r="C162" s="137">
        <f>'DOE25'!G501</f>
        <v>0</v>
      </c>
      <c r="D162" s="137">
        <f>'DOE25'!H501</f>
        <v>150552</v>
      </c>
      <c r="E162" s="137">
        <f>'DOE25'!I501</f>
        <v>422691</v>
      </c>
      <c r="F162" s="137">
        <f>'DOE25'!J501</f>
        <v>41256</v>
      </c>
      <c r="G162" s="138">
        <f t="shared" si="0"/>
        <v>887658</v>
      </c>
    </row>
    <row r="163" spans="1:7" x14ac:dyDescent="0.2">
      <c r="A163" s="22" t="s">
        <v>246</v>
      </c>
      <c r="B163" s="137">
        <f>'DOE25'!F502</f>
        <v>618159</v>
      </c>
      <c r="C163" s="137">
        <f>'DOE25'!G502</f>
        <v>0</v>
      </c>
      <c r="D163" s="137">
        <f>'DOE25'!H502</f>
        <v>307617</v>
      </c>
      <c r="E163" s="137">
        <f>'DOE25'!I502</f>
        <v>678767</v>
      </c>
      <c r="F163" s="137">
        <f>'DOE25'!J502</f>
        <v>226256</v>
      </c>
      <c r="G163" s="138">
        <f t="shared" si="0"/>
        <v>1830799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A43" sqref="A43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7" t="s">
        <v>740</v>
      </c>
      <c r="B1" s="287"/>
      <c r="C1" s="287"/>
      <c r="D1" s="287"/>
    </row>
    <row r="2" spans="1:4" x14ac:dyDescent="0.2">
      <c r="A2" s="187" t="s">
        <v>717</v>
      </c>
      <c r="B2" s="186" t="str">
        <f>'DOE25'!A2</f>
        <v xml:space="preserve">Hollis Brookline Cooperative 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12802</v>
      </c>
    </row>
    <row r="6" spans="1:4" x14ac:dyDescent="0.2">
      <c r="B6" t="s">
        <v>62</v>
      </c>
      <c r="C6" s="179">
        <f>IF('DOE25'!H664+'DOE25'!H669=0,0,ROUND('DOE25'!H671,0))</f>
        <v>11812</v>
      </c>
    </row>
    <row r="7" spans="1:4" x14ac:dyDescent="0.2">
      <c r="B7" t="s">
        <v>705</v>
      </c>
      <c r="C7" s="179">
        <f>IF('DOE25'!I664+'DOE25'!I669=0,0,ROUND('DOE25'!I671,0))</f>
        <v>12138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7018902</v>
      </c>
      <c r="D10" s="182">
        <f>ROUND((C10/$C$28)*100,1)</f>
        <v>39.200000000000003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3423831</v>
      </c>
      <c r="D11" s="182">
        <f>ROUND((C11/$C$28)*100,1)</f>
        <v>19.100000000000001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82029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560120</v>
      </c>
      <c r="D13" s="182">
        <f>ROUND((C13/$C$28)*100,1)</f>
        <v>3.1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1391835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431679</v>
      </c>
      <c r="D16" s="182">
        <f t="shared" si="0"/>
        <v>2.4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760220</v>
      </c>
      <c r="D17" s="182">
        <f t="shared" si="0"/>
        <v>4.2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1104213</v>
      </c>
      <c r="D18" s="182">
        <f t="shared" si="0"/>
        <v>6.2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-122898</v>
      </c>
      <c r="D19" s="182">
        <f t="shared" si="0"/>
        <v>-0.7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1274304</v>
      </c>
      <c r="D20" s="182">
        <f t="shared" si="0"/>
        <v>7.1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986195</v>
      </c>
      <c r="D21" s="182">
        <f t="shared" si="0"/>
        <v>5.5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886616</v>
      </c>
      <c r="D25" s="182">
        <f t="shared" si="0"/>
        <v>5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97066.75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17894112.75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134382</v>
      </c>
    </row>
    <row r="30" spans="1:4" x14ac:dyDescent="0.2">
      <c r="B30" s="187" t="s">
        <v>729</v>
      </c>
      <c r="C30" s="180">
        <f>SUM(C28:C29)</f>
        <v>18028494.75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1000829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13140287</v>
      </c>
      <c r="D35" s="182">
        <f t="shared" ref="D35:D40" si="1">ROUND((C35/$C$41)*100,1)</f>
        <v>68.3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90496.970000000671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5054489</v>
      </c>
      <c r="D37" s="182">
        <f t="shared" si="1"/>
        <v>26.3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560729</v>
      </c>
      <c r="D38" s="182">
        <f t="shared" si="1"/>
        <v>2.9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381420</v>
      </c>
      <c r="D39" s="182">
        <f t="shared" si="1"/>
        <v>2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19227421.969999999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2" t="s">
        <v>770</v>
      </c>
      <c r="B1" s="293"/>
      <c r="C1" s="293"/>
      <c r="D1" s="293"/>
      <c r="E1" s="293"/>
      <c r="F1" s="293"/>
      <c r="G1" s="293"/>
      <c r="H1" s="293"/>
      <c r="I1" s="293"/>
      <c r="J1" s="213"/>
      <c r="K1" s="213"/>
      <c r="L1" s="213"/>
      <c r="M1" s="214"/>
    </row>
    <row r="2" spans="1:26" ht="12.75" x14ac:dyDescent="0.2">
      <c r="A2" s="298" t="s">
        <v>767</v>
      </c>
      <c r="B2" s="299"/>
      <c r="C2" s="299"/>
      <c r="D2" s="299"/>
      <c r="E2" s="299"/>
      <c r="F2" s="296" t="str">
        <f>'DOE25'!A2</f>
        <v xml:space="preserve">Hollis Brookline Cooperative </v>
      </c>
      <c r="G2" s="297"/>
      <c r="H2" s="297"/>
      <c r="I2" s="297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4" t="s">
        <v>771</v>
      </c>
      <c r="D3" s="294"/>
      <c r="E3" s="294"/>
      <c r="F3" s="294"/>
      <c r="G3" s="294"/>
      <c r="H3" s="294"/>
      <c r="I3" s="294"/>
      <c r="J3" s="294"/>
      <c r="K3" s="294"/>
      <c r="L3" s="294"/>
      <c r="M3" s="295"/>
    </row>
    <row r="4" spans="1:26" x14ac:dyDescent="0.2">
      <c r="A4" s="218"/>
      <c r="B4" s="219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90"/>
      <c r="D6" s="290"/>
      <c r="E6" s="290"/>
      <c r="F6" s="290"/>
      <c r="G6" s="290"/>
      <c r="H6" s="290"/>
      <c r="I6" s="290"/>
      <c r="J6" s="290"/>
      <c r="K6" s="290"/>
      <c r="L6" s="290"/>
      <c r="M6" s="29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90"/>
      <c r="D8" s="290"/>
      <c r="E8" s="290"/>
      <c r="F8" s="290"/>
      <c r="G8" s="290"/>
      <c r="H8" s="290"/>
      <c r="I8" s="290"/>
      <c r="J8" s="290"/>
      <c r="K8" s="290"/>
      <c r="L8" s="290"/>
      <c r="M8" s="29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 s="29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90"/>
      <c r="D15" s="290"/>
      <c r="E15" s="290"/>
      <c r="F15" s="290"/>
      <c r="G15" s="290"/>
      <c r="H15" s="290"/>
      <c r="I15" s="290"/>
      <c r="J15" s="290"/>
      <c r="K15" s="290"/>
      <c r="L15" s="290"/>
      <c r="M15" s="29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90"/>
      <c r="D16" s="290"/>
      <c r="E16" s="290"/>
      <c r="F16" s="290"/>
      <c r="G16" s="290"/>
      <c r="H16" s="290"/>
      <c r="I16" s="290"/>
      <c r="J16" s="290"/>
      <c r="K16" s="290"/>
      <c r="L16" s="290"/>
      <c r="M16" s="29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90"/>
      <c r="D17" s="290"/>
      <c r="E17" s="290"/>
      <c r="F17" s="290"/>
      <c r="G17" s="290"/>
      <c r="H17" s="290"/>
      <c r="I17" s="290"/>
      <c r="J17" s="290"/>
      <c r="K17" s="290"/>
      <c r="L17" s="290"/>
      <c r="M17" s="29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29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90"/>
      <c r="D19" s="290"/>
      <c r="E19" s="290"/>
      <c r="F19" s="290"/>
      <c r="G19" s="290"/>
      <c r="H19" s="290"/>
      <c r="I19" s="290"/>
      <c r="J19" s="290"/>
      <c r="K19" s="290"/>
      <c r="L19" s="290"/>
      <c r="M19" s="29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90"/>
      <c r="D22" s="290"/>
      <c r="E22" s="290"/>
      <c r="F22" s="290"/>
      <c r="G22" s="290"/>
      <c r="H22" s="290"/>
      <c r="I22" s="290"/>
      <c r="J22" s="290"/>
      <c r="K22" s="290"/>
      <c r="L22" s="290"/>
      <c r="M22" s="29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90"/>
      <c r="D23" s="290"/>
      <c r="E23" s="290"/>
      <c r="F23" s="290"/>
      <c r="G23" s="290"/>
      <c r="H23" s="290"/>
      <c r="I23" s="290"/>
      <c r="J23" s="290"/>
      <c r="K23" s="290"/>
      <c r="L23" s="290"/>
      <c r="M23" s="29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90"/>
      <c r="D28" s="290"/>
      <c r="E28" s="290"/>
      <c r="F28" s="290"/>
      <c r="G28" s="290"/>
      <c r="H28" s="290"/>
      <c r="I28" s="290"/>
      <c r="J28" s="290"/>
      <c r="K28" s="290"/>
      <c r="L28" s="290"/>
      <c r="M28" s="29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90"/>
      <c r="D29" s="290"/>
      <c r="E29" s="290"/>
      <c r="F29" s="290"/>
      <c r="G29" s="290"/>
      <c r="H29" s="290"/>
      <c r="I29" s="290"/>
      <c r="J29" s="290"/>
      <c r="K29" s="290"/>
      <c r="L29" s="290"/>
      <c r="M29" s="291"/>
      <c r="N29" s="211"/>
      <c r="O29" s="211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07"/>
      <c r="AB29" s="207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07"/>
      <c r="AO29" s="207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07"/>
      <c r="BB29" s="207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07"/>
      <c r="BO29" s="207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07"/>
      <c r="CB29" s="207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07"/>
      <c r="CO29" s="207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07"/>
      <c r="DB29" s="207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07"/>
      <c r="DO29" s="207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07"/>
      <c r="EB29" s="207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07"/>
      <c r="EO29" s="207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07"/>
      <c r="FB29" s="207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07"/>
      <c r="FO29" s="207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07"/>
      <c r="GB29" s="207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07"/>
      <c r="GO29" s="207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07"/>
      <c r="HB29" s="207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07"/>
      <c r="HO29" s="207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07"/>
      <c r="IB29" s="207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07"/>
      <c r="IO29" s="207"/>
      <c r="IP29" s="288"/>
      <c r="IQ29" s="288"/>
      <c r="IR29" s="288"/>
      <c r="IS29" s="288"/>
      <c r="IT29" s="288"/>
      <c r="IU29" s="288"/>
      <c r="IV29" s="288"/>
    </row>
    <row r="30" spans="1:256" x14ac:dyDescent="0.2">
      <c r="A30" s="218"/>
      <c r="B30" s="219"/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1"/>
      <c r="N30" s="211"/>
      <c r="O30" s="211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07"/>
      <c r="AB30" s="207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07"/>
      <c r="AO30" s="207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07"/>
      <c r="BB30" s="207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07"/>
      <c r="BO30" s="207"/>
      <c r="BP30" s="288"/>
      <c r="BQ30" s="288"/>
      <c r="BR30" s="288"/>
      <c r="BS30" s="288"/>
      <c r="BT30" s="288"/>
      <c r="BU30" s="288"/>
      <c r="BV30" s="288"/>
      <c r="BW30" s="288"/>
      <c r="BX30" s="288"/>
      <c r="BY30" s="288"/>
      <c r="BZ30" s="288"/>
      <c r="CA30" s="207"/>
      <c r="CB30" s="207"/>
      <c r="CC30" s="288"/>
      <c r="CD30" s="288"/>
      <c r="CE30" s="288"/>
      <c r="CF30" s="288"/>
      <c r="CG30" s="288"/>
      <c r="CH30" s="288"/>
      <c r="CI30" s="288"/>
      <c r="CJ30" s="288"/>
      <c r="CK30" s="288"/>
      <c r="CL30" s="288"/>
      <c r="CM30" s="288"/>
      <c r="CN30" s="207"/>
      <c r="CO30" s="207"/>
      <c r="CP30" s="288"/>
      <c r="CQ30" s="288"/>
      <c r="CR30" s="288"/>
      <c r="CS30" s="288"/>
      <c r="CT30" s="288"/>
      <c r="CU30" s="288"/>
      <c r="CV30" s="288"/>
      <c r="CW30" s="288"/>
      <c r="CX30" s="288"/>
      <c r="CY30" s="288"/>
      <c r="CZ30" s="288"/>
      <c r="DA30" s="207"/>
      <c r="DB30" s="207"/>
      <c r="DC30" s="288"/>
      <c r="DD30" s="288"/>
      <c r="DE30" s="288"/>
      <c r="DF30" s="288"/>
      <c r="DG30" s="288"/>
      <c r="DH30" s="288"/>
      <c r="DI30" s="288"/>
      <c r="DJ30" s="288"/>
      <c r="DK30" s="288"/>
      <c r="DL30" s="288"/>
      <c r="DM30" s="288"/>
      <c r="DN30" s="207"/>
      <c r="DO30" s="207"/>
      <c r="DP30" s="288"/>
      <c r="DQ30" s="288"/>
      <c r="DR30" s="288"/>
      <c r="DS30" s="288"/>
      <c r="DT30" s="288"/>
      <c r="DU30" s="288"/>
      <c r="DV30" s="288"/>
      <c r="DW30" s="288"/>
      <c r="DX30" s="288"/>
      <c r="DY30" s="288"/>
      <c r="DZ30" s="288"/>
      <c r="EA30" s="207"/>
      <c r="EB30" s="207"/>
      <c r="EC30" s="288"/>
      <c r="ED30" s="288"/>
      <c r="EE30" s="288"/>
      <c r="EF30" s="288"/>
      <c r="EG30" s="288"/>
      <c r="EH30" s="288"/>
      <c r="EI30" s="288"/>
      <c r="EJ30" s="288"/>
      <c r="EK30" s="288"/>
      <c r="EL30" s="288"/>
      <c r="EM30" s="288"/>
      <c r="EN30" s="207"/>
      <c r="EO30" s="207"/>
      <c r="EP30" s="288"/>
      <c r="EQ30" s="288"/>
      <c r="ER30" s="288"/>
      <c r="ES30" s="288"/>
      <c r="ET30" s="288"/>
      <c r="EU30" s="288"/>
      <c r="EV30" s="288"/>
      <c r="EW30" s="288"/>
      <c r="EX30" s="288"/>
      <c r="EY30" s="288"/>
      <c r="EZ30" s="288"/>
      <c r="FA30" s="207"/>
      <c r="FB30" s="207"/>
      <c r="FC30" s="288"/>
      <c r="FD30" s="288"/>
      <c r="FE30" s="288"/>
      <c r="FF30" s="288"/>
      <c r="FG30" s="288"/>
      <c r="FH30" s="288"/>
      <c r="FI30" s="288"/>
      <c r="FJ30" s="288"/>
      <c r="FK30" s="288"/>
      <c r="FL30" s="288"/>
      <c r="FM30" s="288"/>
      <c r="FN30" s="207"/>
      <c r="FO30" s="207"/>
      <c r="FP30" s="288"/>
      <c r="FQ30" s="288"/>
      <c r="FR30" s="288"/>
      <c r="FS30" s="288"/>
      <c r="FT30" s="288"/>
      <c r="FU30" s="288"/>
      <c r="FV30" s="288"/>
      <c r="FW30" s="288"/>
      <c r="FX30" s="288"/>
      <c r="FY30" s="288"/>
      <c r="FZ30" s="288"/>
      <c r="GA30" s="207"/>
      <c r="GB30" s="207"/>
      <c r="GC30" s="288"/>
      <c r="GD30" s="288"/>
      <c r="GE30" s="288"/>
      <c r="GF30" s="288"/>
      <c r="GG30" s="288"/>
      <c r="GH30" s="288"/>
      <c r="GI30" s="288"/>
      <c r="GJ30" s="288"/>
      <c r="GK30" s="288"/>
      <c r="GL30" s="288"/>
      <c r="GM30" s="288"/>
      <c r="GN30" s="207"/>
      <c r="GO30" s="207"/>
      <c r="GP30" s="288"/>
      <c r="GQ30" s="288"/>
      <c r="GR30" s="288"/>
      <c r="GS30" s="288"/>
      <c r="GT30" s="288"/>
      <c r="GU30" s="288"/>
      <c r="GV30" s="288"/>
      <c r="GW30" s="288"/>
      <c r="GX30" s="288"/>
      <c r="GY30" s="288"/>
      <c r="GZ30" s="288"/>
      <c r="HA30" s="207"/>
      <c r="HB30" s="207"/>
      <c r="HC30" s="288"/>
      <c r="HD30" s="288"/>
      <c r="HE30" s="288"/>
      <c r="HF30" s="288"/>
      <c r="HG30" s="288"/>
      <c r="HH30" s="288"/>
      <c r="HI30" s="288"/>
      <c r="HJ30" s="288"/>
      <c r="HK30" s="288"/>
      <c r="HL30" s="288"/>
      <c r="HM30" s="288"/>
      <c r="HN30" s="207"/>
      <c r="HO30" s="207"/>
      <c r="HP30" s="288"/>
      <c r="HQ30" s="288"/>
      <c r="HR30" s="288"/>
      <c r="HS30" s="288"/>
      <c r="HT30" s="288"/>
      <c r="HU30" s="288"/>
      <c r="HV30" s="288"/>
      <c r="HW30" s="288"/>
      <c r="HX30" s="288"/>
      <c r="HY30" s="288"/>
      <c r="HZ30" s="288"/>
      <c r="IA30" s="207"/>
      <c r="IB30" s="207"/>
      <c r="IC30" s="288"/>
      <c r="ID30" s="288"/>
      <c r="IE30" s="288"/>
      <c r="IF30" s="288"/>
      <c r="IG30" s="288"/>
      <c r="IH30" s="288"/>
      <c r="II30" s="288"/>
      <c r="IJ30" s="288"/>
      <c r="IK30" s="288"/>
      <c r="IL30" s="288"/>
      <c r="IM30" s="288"/>
      <c r="IN30" s="207"/>
      <c r="IO30" s="207"/>
      <c r="IP30" s="288"/>
      <c r="IQ30" s="288"/>
      <c r="IR30" s="288"/>
      <c r="IS30" s="288"/>
      <c r="IT30" s="288"/>
      <c r="IU30" s="288"/>
      <c r="IV30" s="288"/>
    </row>
    <row r="31" spans="1:256" x14ac:dyDescent="0.2">
      <c r="A31" s="218"/>
      <c r="B31" s="219"/>
      <c r="C31" s="290"/>
      <c r="D31" s="290"/>
      <c r="E31" s="290"/>
      <c r="F31" s="290"/>
      <c r="G31" s="290"/>
      <c r="H31" s="290"/>
      <c r="I31" s="290"/>
      <c r="J31" s="290"/>
      <c r="K31" s="290"/>
      <c r="L31" s="290"/>
      <c r="M31" s="291"/>
      <c r="N31" s="211"/>
      <c r="O31" s="211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07"/>
      <c r="AB31" s="207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07"/>
      <c r="AO31" s="207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07"/>
      <c r="BB31" s="207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07"/>
      <c r="BO31" s="207"/>
      <c r="BP31" s="288"/>
      <c r="BQ31" s="288"/>
      <c r="BR31" s="288"/>
      <c r="BS31" s="288"/>
      <c r="BT31" s="288"/>
      <c r="BU31" s="288"/>
      <c r="BV31" s="288"/>
      <c r="BW31" s="288"/>
      <c r="BX31" s="288"/>
      <c r="BY31" s="288"/>
      <c r="BZ31" s="288"/>
      <c r="CA31" s="207"/>
      <c r="CB31" s="207"/>
      <c r="CC31" s="288"/>
      <c r="CD31" s="288"/>
      <c r="CE31" s="288"/>
      <c r="CF31" s="288"/>
      <c r="CG31" s="288"/>
      <c r="CH31" s="288"/>
      <c r="CI31" s="288"/>
      <c r="CJ31" s="288"/>
      <c r="CK31" s="288"/>
      <c r="CL31" s="288"/>
      <c r="CM31" s="288"/>
      <c r="CN31" s="207"/>
      <c r="CO31" s="207"/>
      <c r="CP31" s="288"/>
      <c r="CQ31" s="288"/>
      <c r="CR31" s="288"/>
      <c r="CS31" s="288"/>
      <c r="CT31" s="288"/>
      <c r="CU31" s="288"/>
      <c r="CV31" s="288"/>
      <c r="CW31" s="288"/>
      <c r="CX31" s="288"/>
      <c r="CY31" s="288"/>
      <c r="CZ31" s="288"/>
      <c r="DA31" s="207"/>
      <c r="DB31" s="207"/>
      <c r="DC31" s="288"/>
      <c r="DD31" s="288"/>
      <c r="DE31" s="288"/>
      <c r="DF31" s="288"/>
      <c r="DG31" s="288"/>
      <c r="DH31" s="288"/>
      <c r="DI31" s="288"/>
      <c r="DJ31" s="288"/>
      <c r="DK31" s="288"/>
      <c r="DL31" s="288"/>
      <c r="DM31" s="288"/>
      <c r="DN31" s="207"/>
      <c r="DO31" s="207"/>
      <c r="DP31" s="288"/>
      <c r="DQ31" s="288"/>
      <c r="DR31" s="288"/>
      <c r="DS31" s="288"/>
      <c r="DT31" s="288"/>
      <c r="DU31" s="288"/>
      <c r="DV31" s="288"/>
      <c r="DW31" s="288"/>
      <c r="DX31" s="288"/>
      <c r="DY31" s="288"/>
      <c r="DZ31" s="288"/>
      <c r="EA31" s="207"/>
      <c r="EB31" s="207"/>
      <c r="EC31" s="288"/>
      <c r="ED31" s="288"/>
      <c r="EE31" s="288"/>
      <c r="EF31" s="288"/>
      <c r="EG31" s="288"/>
      <c r="EH31" s="288"/>
      <c r="EI31" s="288"/>
      <c r="EJ31" s="288"/>
      <c r="EK31" s="288"/>
      <c r="EL31" s="288"/>
      <c r="EM31" s="288"/>
      <c r="EN31" s="207"/>
      <c r="EO31" s="207"/>
      <c r="EP31" s="288"/>
      <c r="EQ31" s="288"/>
      <c r="ER31" s="288"/>
      <c r="ES31" s="288"/>
      <c r="ET31" s="288"/>
      <c r="EU31" s="288"/>
      <c r="EV31" s="288"/>
      <c r="EW31" s="288"/>
      <c r="EX31" s="288"/>
      <c r="EY31" s="288"/>
      <c r="EZ31" s="288"/>
      <c r="FA31" s="207"/>
      <c r="FB31" s="207"/>
      <c r="FC31" s="288"/>
      <c r="FD31" s="288"/>
      <c r="FE31" s="288"/>
      <c r="FF31" s="288"/>
      <c r="FG31" s="288"/>
      <c r="FH31" s="288"/>
      <c r="FI31" s="288"/>
      <c r="FJ31" s="288"/>
      <c r="FK31" s="288"/>
      <c r="FL31" s="288"/>
      <c r="FM31" s="288"/>
      <c r="FN31" s="207"/>
      <c r="FO31" s="207"/>
      <c r="FP31" s="288"/>
      <c r="FQ31" s="288"/>
      <c r="FR31" s="288"/>
      <c r="FS31" s="288"/>
      <c r="FT31" s="288"/>
      <c r="FU31" s="288"/>
      <c r="FV31" s="288"/>
      <c r="FW31" s="288"/>
      <c r="FX31" s="288"/>
      <c r="FY31" s="288"/>
      <c r="FZ31" s="288"/>
      <c r="GA31" s="207"/>
      <c r="GB31" s="207"/>
      <c r="GC31" s="288"/>
      <c r="GD31" s="288"/>
      <c r="GE31" s="288"/>
      <c r="GF31" s="288"/>
      <c r="GG31" s="288"/>
      <c r="GH31" s="288"/>
      <c r="GI31" s="288"/>
      <c r="GJ31" s="288"/>
      <c r="GK31" s="288"/>
      <c r="GL31" s="288"/>
      <c r="GM31" s="288"/>
      <c r="GN31" s="207"/>
      <c r="GO31" s="207"/>
      <c r="GP31" s="288"/>
      <c r="GQ31" s="288"/>
      <c r="GR31" s="288"/>
      <c r="GS31" s="288"/>
      <c r="GT31" s="288"/>
      <c r="GU31" s="288"/>
      <c r="GV31" s="288"/>
      <c r="GW31" s="288"/>
      <c r="GX31" s="288"/>
      <c r="GY31" s="288"/>
      <c r="GZ31" s="288"/>
      <c r="HA31" s="207"/>
      <c r="HB31" s="207"/>
      <c r="HC31" s="288"/>
      <c r="HD31" s="288"/>
      <c r="HE31" s="288"/>
      <c r="HF31" s="288"/>
      <c r="HG31" s="288"/>
      <c r="HH31" s="288"/>
      <c r="HI31" s="288"/>
      <c r="HJ31" s="288"/>
      <c r="HK31" s="288"/>
      <c r="HL31" s="288"/>
      <c r="HM31" s="288"/>
      <c r="HN31" s="207"/>
      <c r="HO31" s="207"/>
      <c r="HP31" s="288"/>
      <c r="HQ31" s="288"/>
      <c r="HR31" s="288"/>
      <c r="HS31" s="288"/>
      <c r="HT31" s="288"/>
      <c r="HU31" s="288"/>
      <c r="HV31" s="288"/>
      <c r="HW31" s="288"/>
      <c r="HX31" s="288"/>
      <c r="HY31" s="288"/>
      <c r="HZ31" s="288"/>
      <c r="IA31" s="207"/>
      <c r="IB31" s="207"/>
      <c r="IC31" s="288"/>
      <c r="ID31" s="288"/>
      <c r="IE31" s="288"/>
      <c r="IF31" s="288"/>
      <c r="IG31" s="288"/>
      <c r="IH31" s="288"/>
      <c r="II31" s="288"/>
      <c r="IJ31" s="288"/>
      <c r="IK31" s="288"/>
      <c r="IL31" s="288"/>
      <c r="IM31" s="288"/>
      <c r="IN31" s="207"/>
      <c r="IO31" s="207"/>
      <c r="IP31" s="288"/>
      <c r="IQ31" s="288"/>
      <c r="IR31" s="288"/>
      <c r="IS31" s="288"/>
      <c r="IT31" s="288"/>
      <c r="IU31" s="288"/>
      <c r="IV31" s="288"/>
    </row>
    <row r="32" spans="1:256" x14ac:dyDescent="0.2">
      <c r="A32" s="218"/>
      <c r="B32" s="219"/>
      <c r="C32" s="290"/>
      <c r="D32" s="290"/>
      <c r="E32" s="290"/>
      <c r="F32" s="290"/>
      <c r="G32" s="290"/>
      <c r="H32" s="290"/>
      <c r="I32" s="290"/>
      <c r="J32" s="290"/>
      <c r="K32" s="290"/>
      <c r="L32" s="290"/>
      <c r="M32" s="291"/>
      <c r="N32" s="223"/>
      <c r="O32" s="223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1"/>
      <c r="AA32" s="218"/>
      <c r="AB32" s="219"/>
      <c r="AC32" s="290"/>
      <c r="AD32" s="290"/>
      <c r="AE32" s="290"/>
      <c r="AF32" s="290"/>
      <c r="AG32" s="290"/>
      <c r="AH32" s="290"/>
      <c r="AI32" s="290"/>
      <c r="AJ32" s="290"/>
      <c r="AK32" s="290"/>
      <c r="AL32" s="290"/>
      <c r="AM32" s="291"/>
      <c r="AN32" s="218"/>
      <c r="AO32" s="219"/>
      <c r="AP32" s="290"/>
      <c r="AQ32" s="290"/>
      <c r="AR32" s="290"/>
      <c r="AS32" s="290"/>
      <c r="AT32" s="290"/>
      <c r="AU32" s="290"/>
      <c r="AV32" s="290"/>
      <c r="AW32" s="290"/>
      <c r="AX32" s="290"/>
      <c r="AY32" s="290"/>
      <c r="AZ32" s="291"/>
      <c r="BA32" s="218"/>
      <c r="BB32" s="219"/>
      <c r="BC32" s="290"/>
      <c r="BD32" s="290"/>
      <c r="BE32" s="290"/>
      <c r="BF32" s="290"/>
      <c r="BG32" s="290"/>
      <c r="BH32" s="290"/>
      <c r="BI32" s="290"/>
      <c r="BJ32" s="290"/>
      <c r="BK32" s="290"/>
      <c r="BL32" s="290"/>
      <c r="BM32" s="291"/>
      <c r="BN32" s="218"/>
      <c r="BO32" s="219"/>
      <c r="BP32" s="290"/>
      <c r="BQ32" s="290"/>
      <c r="BR32" s="290"/>
      <c r="BS32" s="290"/>
      <c r="BT32" s="290"/>
      <c r="BU32" s="290"/>
      <c r="BV32" s="290"/>
      <c r="BW32" s="290"/>
      <c r="BX32" s="290"/>
      <c r="BY32" s="290"/>
      <c r="BZ32" s="291"/>
      <c r="CA32" s="218"/>
      <c r="CB32" s="219"/>
      <c r="CC32" s="290"/>
      <c r="CD32" s="290"/>
      <c r="CE32" s="290"/>
      <c r="CF32" s="290"/>
      <c r="CG32" s="290"/>
      <c r="CH32" s="290"/>
      <c r="CI32" s="290"/>
      <c r="CJ32" s="290"/>
      <c r="CK32" s="290"/>
      <c r="CL32" s="290"/>
      <c r="CM32" s="291"/>
      <c r="CN32" s="218"/>
      <c r="CO32" s="219"/>
      <c r="CP32" s="290"/>
      <c r="CQ32" s="290"/>
      <c r="CR32" s="290"/>
      <c r="CS32" s="290"/>
      <c r="CT32" s="290"/>
      <c r="CU32" s="290"/>
      <c r="CV32" s="290"/>
      <c r="CW32" s="290"/>
      <c r="CX32" s="290"/>
      <c r="CY32" s="290"/>
      <c r="CZ32" s="291"/>
      <c r="DA32" s="218"/>
      <c r="DB32" s="219"/>
      <c r="DC32" s="290"/>
      <c r="DD32" s="290"/>
      <c r="DE32" s="290"/>
      <c r="DF32" s="290"/>
      <c r="DG32" s="290"/>
      <c r="DH32" s="290"/>
      <c r="DI32" s="290"/>
      <c r="DJ32" s="290"/>
      <c r="DK32" s="290"/>
      <c r="DL32" s="290"/>
      <c r="DM32" s="291"/>
      <c r="DN32" s="218"/>
      <c r="DO32" s="219"/>
      <c r="DP32" s="290"/>
      <c r="DQ32" s="290"/>
      <c r="DR32" s="290"/>
      <c r="DS32" s="290"/>
      <c r="DT32" s="290"/>
      <c r="DU32" s="290"/>
      <c r="DV32" s="290"/>
      <c r="DW32" s="290"/>
      <c r="DX32" s="290"/>
      <c r="DY32" s="290"/>
      <c r="DZ32" s="291"/>
      <c r="EA32" s="218"/>
      <c r="EB32" s="219"/>
      <c r="EC32" s="290"/>
      <c r="ED32" s="290"/>
      <c r="EE32" s="290"/>
      <c r="EF32" s="290"/>
      <c r="EG32" s="290"/>
      <c r="EH32" s="290"/>
      <c r="EI32" s="290"/>
      <c r="EJ32" s="290"/>
      <c r="EK32" s="290"/>
      <c r="EL32" s="290"/>
      <c r="EM32" s="291"/>
      <c r="EN32" s="218"/>
      <c r="EO32" s="219"/>
      <c r="EP32" s="290"/>
      <c r="EQ32" s="290"/>
      <c r="ER32" s="290"/>
      <c r="ES32" s="290"/>
      <c r="ET32" s="290"/>
      <c r="EU32" s="290"/>
      <c r="EV32" s="290"/>
      <c r="EW32" s="290"/>
      <c r="EX32" s="290"/>
      <c r="EY32" s="290"/>
      <c r="EZ32" s="291"/>
      <c r="FA32" s="218"/>
      <c r="FB32" s="219"/>
      <c r="FC32" s="290"/>
      <c r="FD32" s="290"/>
      <c r="FE32" s="290"/>
      <c r="FF32" s="290"/>
      <c r="FG32" s="290"/>
      <c r="FH32" s="290"/>
      <c r="FI32" s="290"/>
      <c r="FJ32" s="290"/>
      <c r="FK32" s="290"/>
      <c r="FL32" s="290"/>
      <c r="FM32" s="291"/>
      <c r="FN32" s="218"/>
      <c r="FO32" s="219"/>
      <c r="FP32" s="290"/>
      <c r="FQ32" s="290"/>
      <c r="FR32" s="290"/>
      <c r="FS32" s="290"/>
      <c r="FT32" s="290"/>
      <c r="FU32" s="290"/>
      <c r="FV32" s="290"/>
      <c r="FW32" s="290"/>
      <c r="FX32" s="290"/>
      <c r="FY32" s="290"/>
      <c r="FZ32" s="291"/>
      <c r="GA32" s="218"/>
      <c r="GB32" s="219"/>
      <c r="GC32" s="290"/>
      <c r="GD32" s="290"/>
      <c r="GE32" s="290"/>
      <c r="GF32" s="290"/>
      <c r="GG32" s="290"/>
      <c r="GH32" s="290"/>
      <c r="GI32" s="290"/>
      <c r="GJ32" s="290"/>
      <c r="GK32" s="290"/>
      <c r="GL32" s="290"/>
      <c r="GM32" s="291"/>
      <c r="GN32" s="218"/>
      <c r="GO32" s="219"/>
      <c r="GP32" s="290"/>
      <c r="GQ32" s="290"/>
      <c r="GR32" s="290"/>
      <c r="GS32" s="290"/>
      <c r="GT32" s="290"/>
      <c r="GU32" s="290"/>
      <c r="GV32" s="290"/>
      <c r="GW32" s="290"/>
      <c r="GX32" s="290"/>
      <c r="GY32" s="290"/>
      <c r="GZ32" s="291"/>
      <c r="HA32" s="218"/>
      <c r="HB32" s="219"/>
      <c r="HC32" s="290"/>
      <c r="HD32" s="290"/>
      <c r="HE32" s="290"/>
      <c r="HF32" s="290"/>
      <c r="HG32" s="290"/>
      <c r="HH32" s="290"/>
      <c r="HI32" s="290"/>
      <c r="HJ32" s="290"/>
      <c r="HK32" s="290"/>
      <c r="HL32" s="290"/>
      <c r="HM32" s="291"/>
      <c r="HN32" s="218"/>
      <c r="HO32" s="219"/>
      <c r="HP32" s="290"/>
      <c r="HQ32" s="290"/>
      <c r="HR32" s="290"/>
      <c r="HS32" s="290"/>
      <c r="HT32" s="290"/>
      <c r="HU32" s="290"/>
      <c r="HV32" s="290"/>
      <c r="HW32" s="290"/>
      <c r="HX32" s="290"/>
      <c r="HY32" s="290"/>
      <c r="HZ32" s="291"/>
      <c r="IA32" s="218"/>
      <c r="IB32" s="219"/>
      <c r="IC32" s="290"/>
      <c r="ID32" s="290"/>
      <c r="IE32" s="290"/>
      <c r="IF32" s="290"/>
      <c r="IG32" s="290"/>
      <c r="IH32" s="290"/>
      <c r="II32" s="290"/>
      <c r="IJ32" s="290"/>
      <c r="IK32" s="290"/>
      <c r="IL32" s="290"/>
      <c r="IM32" s="291"/>
      <c r="IN32" s="218"/>
      <c r="IO32" s="219"/>
      <c r="IP32" s="290"/>
      <c r="IQ32" s="290"/>
      <c r="IR32" s="290"/>
      <c r="IS32" s="290"/>
      <c r="IT32" s="290"/>
      <c r="IU32" s="290"/>
      <c r="IV32" s="290"/>
    </row>
    <row r="33" spans="1:256" x14ac:dyDescent="0.2">
      <c r="A33" s="218"/>
      <c r="B33" s="219"/>
      <c r="C33" s="290"/>
      <c r="D33" s="290"/>
      <c r="E33" s="290"/>
      <c r="F33" s="290"/>
      <c r="G33" s="290"/>
      <c r="H33" s="290"/>
      <c r="I33" s="290"/>
      <c r="J33" s="290"/>
      <c r="K33" s="290"/>
      <c r="L33" s="290"/>
      <c r="M33" s="291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90"/>
      <c r="D34" s="290"/>
      <c r="E34" s="290"/>
      <c r="F34" s="290"/>
      <c r="G34" s="290"/>
      <c r="H34" s="290"/>
      <c r="I34" s="290"/>
      <c r="J34" s="290"/>
      <c r="K34" s="290"/>
      <c r="L34" s="290"/>
      <c r="M34" s="291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90"/>
      <c r="D35" s="290"/>
      <c r="E35" s="290"/>
      <c r="F35" s="290"/>
      <c r="G35" s="290"/>
      <c r="H35" s="290"/>
      <c r="I35" s="290"/>
      <c r="J35" s="290"/>
      <c r="K35" s="290"/>
      <c r="L35" s="290"/>
      <c r="M35" s="291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90"/>
      <c r="D36" s="290"/>
      <c r="E36" s="290"/>
      <c r="F36" s="290"/>
      <c r="G36" s="290"/>
      <c r="H36" s="290"/>
      <c r="I36" s="290"/>
      <c r="J36" s="290"/>
      <c r="K36" s="290"/>
      <c r="L36" s="290"/>
      <c r="M36" s="291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90"/>
      <c r="D37" s="290"/>
      <c r="E37" s="290"/>
      <c r="F37" s="290"/>
      <c r="G37" s="290"/>
      <c r="H37" s="290"/>
      <c r="I37" s="290"/>
      <c r="J37" s="290"/>
      <c r="K37" s="290"/>
      <c r="L37" s="290"/>
      <c r="M37" s="291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90"/>
      <c r="D38" s="290"/>
      <c r="E38" s="290"/>
      <c r="F38" s="290"/>
      <c r="G38" s="290"/>
      <c r="H38" s="290"/>
      <c r="I38" s="290"/>
      <c r="J38" s="290"/>
      <c r="K38" s="290"/>
      <c r="L38" s="290"/>
      <c r="M38" s="291"/>
      <c r="N38" s="211"/>
      <c r="O38" s="211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07"/>
      <c r="AB38" s="207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07"/>
      <c r="AO38" s="207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07"/>
      <c r="BB38" s="207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88"/>
      <c r="BN38" s="207"/>
      <c r="BO38" s="207"/>
      <c r="BP38" s="288"/>
      <c r="BQ38" s="288"/>
      <c r="BR38" s="288"/>
      <c r="BS38" s="288"/>
      <c r="BT38" s="288"/>
      <c r="BU38" s="288"/>
      <c r="BV38" s="288"/>
      <c r="BW38" s="288"/>
      <c r="BX38" s="288"/>
      <c r="BY38" s="288"/>
      <c r="BZ38" s="288"/>
      <c r="CA38" s="207"/>
      <c r="CB38" s="207"/>
      <c r="CC38" s="288"/>
      <c r="CD38" s="288"/>
      <c r="CE38" s="288"/>
      <c r="CF38" s="288"/>
      <c r="CG38" s="288"/>
      <c r="CH38" s="288"/>
      <c r="CI38" s="288"/>
      <c r="CJ38" s="288"/>
      <c r="CK38" s="288"/>
      <c r="CL38" s="288"/>
      <c r="CM38" s="288"/>
      <c r="CN38" s="207"/>
      <c r="CO38" s="207"/>
      <c r="CP38" s="288"/>
      <c r="CQ38" s="288"/>
      <c r="CR38" s="288"/>
      <c r="CS38" s="288"/>
      <c r="CT38" s="288"/>
      <c r="CU38" s="288"/>
      <c r="CV38" s="288"/>
      <c r="CW38" s="288"/>
      <c r="CX38" s="288"/>
      <c r="CY38" s="288"/>
      <c r="CZ38" s="288"/>
      <c r="DA38" s="207"/>
      <c r="DB38" s="207"/>
      <c r="DC38" s="288"/>
      <c r="DD38" s="288"/>
      <c r="DE38" s="288"/>
      <c r="DF38" s="288"/>
      <c r="DG38" s="288"/>
      <c r="DH38" s="288"/>
      <c r="DI38" s="288"/>
      <c r="DJ38" s="288"/>
      <c r="DK38" s="288"/>
      <c r="DL38" s="288"/>
      <c r="DM38" s="288"/>
      <c r="DN38" s="207"/>
      <c r="DO38" s="207"/>
      <c r="DP38" s="288"/>
      <c r="DQ38" s="288"/>
      <c r="DR38" s="288"/>
      <c r="DS38" s="288"/>
      <c r="DT38" s="288"/>
      <c r="DU38" s="288"/>
      <c r="DV38" s="288"/>
      <c r="DW38" s="288"/>
      <c r="DX38" s="288"/>
      <c r="DY38" s="288"/>
      <c r="DZ38" s="288"/>
      <c r="EA38" s="207"/>
      <c r="EB38" s="207"/>
      <c r="EC38" s="288"/>
      <c r="ED38" s="288"/>
      <c r="EE38" s="288"/>
      <c r="EF38" s="288"/>
      <c r="EG38" s="288"/>
      <c r="EH38" s="288"/>
      <c r="EI38" s="288"/>
      <c r="EJ38" s="288"/>
      <c r="EK38" s="288"/>
      <c r="EL38" s="288"/>
      <c r="EM38" s="288"/>
      <c r="EN38" s="207"/>
      <c r="EO38" s="207"/>
      <c r="EP38" s="288"/>
      <c r="EQ38" s="288"/>
      <c r="ER38" s="288"/>
      <c r="ES38" s="288"/>
      <c r="ET38" s="288"/>
      <c r="EU38" s="288"/>
      <c r="EV38" s="288"/>
      <c r="EW38" s="288"/>
      <c r="EX38" s="288"/>
      <c r="EY38" s="288"/>
      <c r="EZ38" s="288"/>
      <c r="FA38" s="207"/>
      <c r="FB38" s="207"/>
      <c r="FC38" s="288"/>
      <c r="FD38" s="288"/>
      <c r="FE38" s="288"/>
      <c r="FF38" s="288"/>
      <c r="FG38" s="288"/>
      <c r="FH38" s="288"/>
      <c r="FI38" s="288"/>
      <c r="FJ38" s="288"/>
      <c r="FK38" s="288"/>
      <c r="FL38" s="288"/>
      <c r="FM38" s="288"/>
      <c r="FN38" s="207"/>
      <c r="FO38" s="207"/>
      <c r="FP38" s="288"/>
      <c r="FQ38" s="288"/>
      <c r="FR38" s="288"/>
      <c r="FS38" s="288"/>
      <c r="FT38" s="288"/>
      <c r="FU38" s="288"/>
      <c r="FV38" s="288"/>
      <c r="FW38" s="288"/>
      <c r="FX38" s="288"/>
      <c r="FY38" s="288"/>
      <c r="FZ38" s="288"/>
      <c r="GA38" s="207"/>
      <c r="GB38" s="207"/>
      <c r="GC38" s="288"/>
      <c r="GD38" s="288"/>
      <c r="GE38" s="288"/>
      <c r="GF38" s="288"/>
      <c r="GG38" s="288"/>
      <c r="GH38" s="288"/>
      <c r="GI38" s="288"/>
      <c r="GJ38" s="288"/>
      <c r="GK38" s="288"/>
      <c r="GL38" s="288"/>
      <c r="GM38" s="288"/>
      <c r="GN38" s="207"/>
      <c r="GO38" s="207"/>
      <c r="GP38" s="288"/>
      <c r="GQ38" s="288"/>
      <c r="GR38" s="288"/>
      <c r="GS38" s="288"/>
      <c r="GT38" s="288"/>
      <c r="GU38" s="288"/>
      <c r="GV38" s="288"/>
      <c r="GW38" s="288"/>
      <c r="GX38" s="288"/>
      <c r="GY38" s="288"/>
      <c r="GZ38" s="288"/>
      <c r="HA38" s="207"/>
      <c r="HB38" s="207"/>
      <c r="HC38" s="288"/>
      <c r="HD38" s="288"/>
      <c r="HE38" s="288"/>
      <c r="HF38" s="288"/>
      <c r="HG38" s="288"/>
      <c r="HH38" s="288"/>
      <c r="HI38" s="288"/>
      <c r="HJ38" s="288"/>
      <c r="HK38" s="288"/>
      <c r="HL38" s="288"/>
      <c r="HM38" s="288"/>
      <c r="HN38" s="207"/>
      <c r="HO38" s="207"/>
      <c r="HP38" s="288"/>
      <c r="HQ38" s="288"/>
      <c r="HR38" s="288"/>
      <c r="HS38" s="288"/>
      <c r="HT38" s="288"/>
      <c r="HU38" s="288"/>
      <c r="HV38" s="288"/>
      <c r="HW38" s="288"/>
      <c r="HX38" s="288"/>
      <c r="HY38" s="288"/>
      <c r="HZ38" s="288"/>
      <c r="IA38" s="207"/>
      <c r="IB38" s="207"/>
      <c r="IC38" s="288"/>
      <c r="ID38" s="288"/>
      <c r="IE38" s="288"/>
      <c r="IF38" s="288"/>
      <c r="IG38" s="288"/>
      <c r="IH38" s="288"/>
      <c r="II38" s="288"/>
      <c r="IJ38" s="288"/>
      <c r="IK38" s="288"/>
      <c r="IL38" s="288"/>
      <c r="IM38" s="288"/>
      <c r="IN38" s="207"/>
      <c r="IO38" s="207"/>
      <c r="IP38" s="288"/>
      <c r="IQ38" s="288"/>
      <c r="IR38" s="288"/>
      <c r="IS38" s="288"/>
      <c r="IT38" s="288"/>
      <c r="IU38" s="288"/>
      <c r="IV38" s="288"/>
    </row>
    <row r="39" spans="1:256" x14ac:dyDescent="0.2">
      <c r="A39" s="218"/>
      <c r="B39" s="219"/>
      <c r="C39" s="290"/>
      <c r="D39" s="290"/>
      <c r="E39" s="290"/>
      <c r="F39" s="290"/>
      <c r="G39" s="290"/>
      <c r="H39" s="290"/>
      <c r="I39" s="290"/>
      <c r="J39" s="290"/>
      <c r="K39" s="290"/>
      <c r="L39" s="290"/>
      <c r="M39" s="291"/>
      <c r="N39" s="211"/>
      <c r="O39" s="211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07"/>
      <c r="AB39" s="207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07"/>
      <c r="AO39" s="207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07"/>
      <c r="BB39" s="207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88"/>
      <c r="BN39" s="207"/>
      <c r="BO39" s="207"/>
      <c r="BP39" s="288"/>
      <c r="BQ39" s="288"/>
      <c r="BR39" s="288"/>
      <c r="BS39" s="288"/>
      <c r="BT39" s="288"/>
      <c r="BU39" s="288"/>
      <c r="BV39" s="288"/>
      <c r="BW39" s="288"/>
      <c r="BX39" s="288"/>
      <c r="BY39" s="288"/>
      <c r="BZ39" s="288"/>
      <c r="CA39" s="207"/>
      <c r="CB39" s="207"/>
      <c r="CC39" s="288"/>
      <c r="CD39" s="288"/>
      <c r="CE39" s="288"/>
      <c r="CF39" s="288"/>
      <c r="CG39" s="288"/>
      <c r="CH39" s="288"/>
      <c r="CI39" s="288"/>
      <c r="CJ39" s="288"/>
      <c r="CK39" s="288"/>
      <c r="CL39" s="288"/>
      <c r="CM39" s="288"/>
      <c r="CN39" s="207"/>
      <c r="CO39" s="207"/>
      <c r="CP39" s="288"/>
      <c r="CQ39" s="288"/>
      <c r="CR39" s="288"/>
      <c r="CS39" s="288"/>
      <c r="CT39" s="288"/>
      <c r="CU39" s="288"/>
      <c r="CV39" s="288"/>
      <c r="CW39" s="288"/>
      <c r="CX39" s="288"/>
      <c r="CY39" s="288"/>
      <c r="CZ39" s="288"/>
      <c r="DA39" s="207"/>
      <c r="DB39" s="207"/>
      <c r="DC39" s="288"/>
      <c r="DD39" s="288"/>
      <c r="DE39" s="288"/>
      <c r="DF39" s="288"/>
      <c r="DG39" s="288"/>
      <c r="DH39" s="288"/>
      <c r="DI39" s="288"/>
      <c r="DJ39" s="288"/>
      <c r="DK39" s="288"/>
      <c r="DL39" s="288"/>
      <c r="DM39" s="288"/>
      <c r="DN39" s="207"/>
      <c r="DO39" s="207"/>
      <c r="DP39" s="288"/>
      <c r="DQ39" s="288"/>
      <c r="DR39" s="288"/>
      <c r="DS39" s="288"/>
      <c r="DT39" s="288"/>
      <c r="DU39" s="288"/>
      <c r="DV39" s="288"/>
      <c r="DW39" s="288"/>
      <c r="DX39" s="288"/>
      <c r="DY39" s="288"/>
      <c r="DZ39" s="288"/>
      <c r="EA39" s="207"/>
      <c r="EB39" s="207"/>
      <c r="EC39" s="288"/>
      <c r="ED39" s="288"/>
      <c r="EE39" s="288"/>
      <c r="EF39" s="288"/>
      <c r="EG39" s="288"/>
      <c r="EH39" s="288"/>
      <c r="EI39" s="288"/>
      <c r="EJ39" s="288"/>
      <c r="EK39" s="288"/>
      <c r="EL39" s="288"/>
      <c r="EM39" s="288"/>
      <c r="EN39" s="207"/>
      <c r="EO39" s="207"/>
      <c r="EP39" s="288"/>
      <c r="EQ39" s="288"/>
      <c r="ER39" s="288"/>
      <c r="ES39" s="288"/>
      <c r="ET39" s="288"/>
      <c r="EU39" s="288"/>
      <c r="EV39" s="288"/>
      <c r="EW39" s="288"/>
      <c r="EX39" s="288"/>
      <c r="EY39" s="288"/>
      <c r="EZ39" s="288"/>
      <c r="FA39" s="207"/>
      <c r="FB39" s="207"/>
      <c r="FC39" s="288"/>
      <c r="FD39" s="288"/>
      <c r="FE39" s="288"/>
      <c r="FF39" s="288"/>
      <c r="FG39" s="288"/>
      <c r="FH39" s="288"/>
      <c r="FI39" s="288"/>
      <c r="FJ39" s="288"/>
      <c r="FK39" s="288"/>
      <c r="FL39" s="288"/>
      <c r="FM39" s="288"/>
      <c r="FN39" s="207"/>
      <c r="FO39" s="207"/>
      <c r="FP39" s="288"/>
      <c r="FQ39" s="288"/>
      <c r="FR39" s="288"/>
      <c r="FS39" s="288"/>
      <c r="FT39" s="288"/>
      <c r="FU39" s="288"/>
      <c r="FV39" s="288"/>
      <c r="FW39" s="288"/>
      <c r="FX39" s="288"/>
      <c r="FY39" s="288"/>
      <c r="FZ39" s="288"/>
      <c r="GA39" s="207"/>
      <c r="GB39" s="207"/>
      <c r="GC39" s="288"/>
      <c r="GD39" s="288"/>
      <c r="GE39" s="288"/>
      <c r="GF39" s="288"/>
      <c r="GG39" s="288"/>
      <c r="GH39" s="288"/>
      <c r="GI39" s="288"/>
      <c r="GJ39" s="288"/>
      <c r="GK39" s="288"/>
      <c r="GL39" s="288"/>
      <c r="GM39" s="288"/>
      <c r="GN39" s="207"/>
      <c r="GO39" s="207"/>
      <c r="GP39" s="288"/>
      <c r="GQ39" s="288"/>
      <c r="GR39" s="288"/>
      <c r="GS39" s="288"/>
      <c r="GT39" s="288"/>
      <c r="GU39" s="288"/>
      <c r="GV39" s="288"/>
      <c r="GW39" s="288"/>
      <c r="GX39" s="288"/>
      <c r="GY39" s="288"/>
      <c r="GZ39" s="288"/>
      <c r="HA39" s="207"/>
      <c r="HB39" s="207"/>
      <c r="HC39" s="288"/>
      <c r="HD39" s="288"/>
      <c r="HE39" s="288"/>
      <c r="HF39" s="288"/>
      <c r="HG39" s="288"/>
      <c r="HH39" s="288"/>
      <c r="HI39" s="288"/>
      <c r="HJ39" s="288"/>
      <c r="HK39" s="288"/>
      <c r="HL39" s="288"/>
      <c r="HM39" s="288"/>
      <c r="HN39" s="207"/>
      <c r="HO39" s="207"/>
      <c r="HP39" s="288"/>
      <c r="HQ39" s="288"/>
      <c r="HR39" s="288"/>
      <c r="HS39" s="288"/>
      <c r="HT39" s="288"/>
      <c r="HU39" s="288"/>
      <c r="HV39" s="288"/>
      <c r="HW39" s="288"/>
      <c r="HX39" s="288"/>
      <c r="HY39" s="288"/>
      <c r="HZ39" s="288"/>
      <c r="IA39" s="207"/>
      <c r="IB39" s="207"/>
      <c r="IC39" s="288"/>
      <c r="ID39" s="288"/>
      <c r="IE39" s="288"/>
      <c r="IF39" s="288"/>
      <c r="IG39" s="288"/>
      <c r="IH39" s="288"/>
      <c r="II39" s="288"/>
      <c r="IJ39" s="288"/>
      <c r="IK39" s="288"/>
      <c r="IL39" s="288"/>
      <c r="IM39" s="288"/>
      <c r="IN39" s="207"/>
      <c r="IO39" s="207"/>
      <c r="IP39" s="288"/>
      <c r="IQ39" s="288"/>
      <c r="IR39" s="288"/>
      <c r="IS39" s="288"/>
      <c r="IT39" s="288"/>
      <c r="IU39" s="288"/>
      <c r="IV39" s="288"/>
    </row>
    <row r="40" spans="1:256" x14ac:dyDescent="0.2">
      <c r="A40" s="218"/>
      <c r="B40" s="219"/>
      <c r="C40" s="290"/>
      <c r="D40" s="290"/>
      <c r="E40" s="290"/>
      <c r="F40" s="290"/>
      <c r="G40" s="290"/>
      <c r="H40" s="290"/>
      <c r="I40" s="290"/>
      <c r="J40" s="290"/>
      <c r="K40" s="290"/>
      <c r="L40" s="290"/>
      <c r="M40" s="291"/>
      <c r="N40" s="211"/>
      <c r="O40" s="211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07"/>
      <c r="AB40" s="207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07"/>
      <c r="AO40" s="207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07"/>
      <c r="BB40" s="207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88"/>
      <c r="BN40" s="207"/>
      <c r="BO40" s="207"/>
      <c r="BP40" s="288"/>
      <c r="BQ40" s="288"/>
      <c r="BR40" s="288"/>
      <c r="BS40" s="288"/>
      <c r="BT40" s="288"/>
      <c r="BU40" s="288"/>
      <c r="BV40" s="288"/>
      <c r="BW40" s="288"/>
      <c r="BX40" s="288"/>
      <c r="BY40" s="288"/>
      <c r="BZ40" s="288"/>
      <c r="CA40" s="207"/>
      <c r="CB40" s="207"/>
      <c r="CC40" s="288"/>
      <c r="CD40" s="288"/>
      <c r="CE40" s="288"/>
      <c r="CF40" s="288"/>
      <c r="CG40" s="288"/>
      <c r="CH40" s="288"/>
      <c r="CI40" s="288"/>
      <c r="CJ40" s="288"/>
      <c r="CK40" s="288"/>
      <c r="CL40" s="288"/>
      <c r="CM40" s="288"/>
      <c r="CN40" s="207"/>
      <c r="CO40" s="207"/>
      <c r="CP40" s="288"/>
      <c r="CQ40" s="288"/>
      <c r="CR40" s="288"/>
      <c r="CS40" s="288"/>
      <c r="CT40" s="288"/>
      <c r="CU40" s="288"/>
      <c r="CV40" s="288"/>
      <c r="CW40" s="288"/>
      <c r="CX40" s="288"/>
      <c r="CY40" s="288"/>
      <c r="CZ40" s="288"/>
      <c r="DA40" s="207"/>
      <c r="DB40" s="207"/>
      <c r="DC40" s="288"/>
      <c r="DD40" s="288"/>
      <c r="DE40" s="288"/>
      <c r="DF40" s="288"/>
      <c r="DG40" s="288"/>
      <c r="DH40" s="288"/>
      <c r="DI40" s="288"/>
      <c r="DJ40" s="288"/>
      <c r="DK40" s="288"/>
      <c r="DL40" s="288"/>
      <c r="DM40" s="288"/>
      <c r="DN40" s="207"/>
      <c r="DO40" s="207"/>
      <c r="DP40" s="288"/>
      <c r="DQ40" s="288"/>
      <c r="DR40" s="288"/>
      <c r="DS40" s="288"/>
      <c r="DT40" s="288"/>
      <c r="DU40" s="288"/>
      <c r="DV40" s="288"/>
      <c r="DW40" s="288"/>
      <c r="DX40" s="288"/>
      <c r="DY40" s="288"/>
      <c r="DZ40" s="288"/>
      <c r="EA40" s="207"/>
      <c r="EB40" s="207"/>
      <c r="EC40" s="288"/>
      <c r="ED40" s="288"/>
      <c r="EE40" s="288"/>
      <c r="EF40" s="288"/>
      <c r="EG40" s="288"/>
      <c r="EH40" s="288"/>
      <c r="EI40" s="288"/>
      <c r="EJ40" s="288"/>
      <c r="EK40" s="288"/>
      <c r="EL40" s="288"/>
      <c r="EM40" s="288"/>
      <c r="EN40" s="207"/>
      <c r="EO40" s="207"/>
      <c r="EP40" s="288"/>
      <c r="EQ40" s="288"/>
      <c r="ER40" s="288"/>
      <c r="ES40" s="288"/>
      <c r="ET40" s="288"/>
      <c r="EU40" s="288"/>
      <c r="EV40" s="288"/>
      <c r="EW40" s="288"/>
      <c r="EX40" s="288"/>
      <c r="EY40" s="288"/>
      <c r="EZ40" s="288"/>
      <c r="FA40" s="207"/>
      <c r="FB40" s="207"/>
      <c r="FC40" s="288"/>
      <c r="FD40" s="288"/>
      <c r="FE40" s="288"/>
      <c r="FF40" s="288"/>
      <c r="FG40" s="288"/>
      <c r="FH40" s="288"/>
      <c r="FI40" s="288"/>
      <c r="FJ40" s="288"/>
      <c r="FK40" s="288"/>
      <c r="FL40" s="288"/>
      <c r="FM40" s="288"/>
      <c r="FN40" s="207"/>
      <c r="FO40" s="207"/>
      <c r="FP40" s="288"/>
      <c r="FQ40" s="288"/>
      <c r="FR40" s="288"/>
      <c r="FS40" s="288"/>
      <c r="FT40" s="288"/>
      <c r="FU40" s="288"/>
      <c r="FV40" s="288"/>
      <c r="FW40" s="288"/>
      <c r="FX40" s="288"/>
      <c r="FY40" s="288"/>
      <c r="FZ40" s="288"/>
      <c r="GA40" s="207"/>
      <c r="GB40" s="207"/>
      <c r="GC40" s="288"/>
      <c r="GD40" s="288"/>
      <c r="GE40" s="288"/>
      <c r="GF40" s="288"/>
      <c r="GG40" s="288"/>
      <c r="GH40" s="288"/>
      <c r="GI40" s="288"/>
      <c r="GJ40" s="288"/>
      <c r="GK40" s="288"/>
      <c r="GL40" s="288"/>
      <c r="GM40" s="288"/>
      <c r="GN40" s="207"/>
      <c r="GO40" s="207"/>
      <c r="GP40" s="288"/>
      <c r="GQ40" s="288"/>
      <c r="GR40" s="288"/>
      <c r="GS40" s="288"/>
      <c r="GT40" s="288"/>
      <c r="GU40" s="288"/>
      <c r="GV40" s="288"/>
      <c r="GW40" s="288"/>
      <c r="GX40" s="288"/>
      <c r="GY40" s="288"/>
      <c r="GZ40" s="288"/>
      <c r="HA40" s="207"/>
      <c r="HB40" s="207"/>
      <c r="HC40" s="288"/>
      <c r="HD40" s="288"/>
      <c r="HE40" s="288"/>
      <c r="HF40" s="288"/>
      <c r="HG40" s="288"/>
      <c r="HH40" s="288"/>
      <c r="HI40" s="288"/>
      <c r="HJ40" s="288"/>
      <c r="HK40" s="288"/>
      <c r="HL40" s="288"/>
      <c r="HM40" s="288"/>
      <c r="HN40" s="207"/>
      <c r="HO40" s="207"/>
      <c r="HP40" s="288"/>
      <c r="HQ40" s="288"/>
      <c r="HR40" s="288"/>
      <c r="HS40" s="288"/>
      <c r="HT40" s="288"/>
      <c r="HU40" s="288"/>
      <c r="HV40" s="288"/>
      <c r="HW40" s="288"/>
      <c r="HX40" s="288"/>
      <c r="HY40" s="288"/>
      <c r="HZ40" s="288"/>
      <c r="IA40" s="207"/>
      <c r="IB40" s="207"/>
      <c r="IC40" s="288"/>
      <c r="ID40" s="288"/>
      <c r="IE40" s="288"/>
      <c r="IF40" s="288"/>
      <c r="IG40" s="288"/>
      <c r="IH40" s="288"/>
      <c r="II40" s="288"/>
      <c r="IJ40" s="288"/>
      <c r="IK40" s="288"/>
      <c r="IL40" s="288"/>
      <c r="IM40" s="288"/>
      <c r="IN40" s="207"/>
      <c r="IO40" s="207"/>
      <c r="IP40" s="288"/>
      <c r="IQ40" s="288"/>
      <c r="IR40" s="288"/>
      <c r="IS40" s="288"/>
      <c r="IT40" s="288"/>
      <c r="IU40" s="288"/>
      <c r="IV40" s="288"/>
    </row>
    <row r="41" spans="1:256" x14ac:dyDescent="0.2">
      <c r="A41" s="218"/>
      <c r="B41" s="219"/>
      <c r="C41" s="290"/>
      <c r="D41" s="290"/>
      <c r="E41" s="290"/>
      <c r="F41" s="290"/>
      <c r="G41" s="290"/>
      <c r="H41" s="290"/>
      <c r="I41" s="290"/>
      <c r="J41" s="290"/>
      <c r="K41" s="290"/>
      <c r="L41" s="290"/>
      <c r="M41" s="291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90"/>
      <c r="D42" s="290"/>
      <c r="E42" s="290"/>
      <c r="F42" s="290"/>
      <c r="G42" s="290"/>
      <c r="H42" s="290"/>
      <c r="I42" s="290"/>
      <c r="J42" s="290"/>
      <c r="K42" s="290"/>
      <c r="L42" s="290"/>
      <c r="M42" s="291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90"/>
      <c r="D43" s="290"/>
      <c r="E43" s="290"/>
      <c r="F43" s="290"/>
      <c r="G43" s="290"/>
      <c r="H43" s="290"/>
      <c r="I43" s="290"/>
      <c r="J43" s="290"/>
      <c r="K43" s="290"/>
      <c r="L43" s="290"/>
      <c r="M43" s="291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90"/>
      <c r="D44" s="290"/>
      <c r="E44" s="290"/>
      <c r="F44" s="290"/>
      <c r="G44" s="290"/>
      <c r="H44" s="290"/>
      <c r="I44" s="290"/>
      <c r="J44" s="290"/>
      <c r="K44" s="290"/>
      <c r="L44" s="290"/>
      <c r="M44" s="291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90"/>
      <c r="D45" s="290"/>
      <c r="E45" s="290"/>
      <c r="F45" s="290"/>
      <c r="G45" s="290"/>
      <c r="H45" s="290"/>
      <c r="I45" s="290"/>
      <c r="J45" s="290"/>
      <c r="K45" s="290"/>
      <c r="L45" s="290"/>
      <c r="M45" s="291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90"/>
      <c r="D46" s="290"/>
      <c r="E46" s="290"/>
      <c r="F46" s="290"/>
      <c r="G46" s="290"/>
      <c r="H46" s="290"/>
      <c r="I46" s="290"/>
      <c r="J46" s="290"/>
      <c r="K46" s="290"/>
      <c r="L46" s="290"/>
      <c r="M46" s="291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90"/>
      <c r="D47" s="290"/>
      <c r="E47" s="290"/>
      <c r="F47" s="290"/>
      <c r="G47" s="290"/>
      <c r="H47" s="290"/>
      <c r="I47" s="290"/>
      <c r="J47" s="290"/>
      <c r="K47" s="290"/>
      <c r="L47" s="290"/>
      <c r="M47" s="291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90"/>
      <c r="D48" s="290"/>
      <c r="E48" s="290"/>
      <c r="F48" s="290"/>
      <c r="G48" s="290"/>
      <c r="H48" s="290"/>
      <c r="I48" s="290"/>
      <c r="J48" s="290"/>
      <c r="K48" s="290"/>
      <c r="L48" s="290"/>
      <c r="M48" s="291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90"/>
      <c r="D49" s="290"/>
      <c r="E49" s="290"/>
      <c r="F49" s="290"/>
      <c r="G49" s="290"/>
      <c r="H49" s="290"/>
      <c r="I49" s="290"/>
      <c r="J49" s="290"/>
      <c r="K49" s="290"/>
      <c r="L49" s="290"/>
      <c r="M49" s="291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90"/>
      <c r="D50" s="290"/>
      <c r="E50" s="290"/>
      <c r="F50" s="290"/>
      <c r="G50" s="290"/>
      <c r="H50" s="290"/>
      <c r="I50" s="290"/>
      <c r="J50" s="290"/>
      <c r="K50" s="290"/>
      <c r="L50" s="290"/>
      <c r="M50" s="29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90"/>
      <c r="D51" s="290"/>
      <c r="E51" s="290"/>
      <c r="F51" s="290"/>
      <c r="G51" s="290"/>
      <c r="H51" s="290"/>
      <c r="I51" s="290"/>
      <c r="J51" s="290"/>
      <c r="K51" s="290"/>
      <c r="L51" s="290"/>
      <c r="M51" s="29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90"/>
      <c r="D52" s="290"/>
      <c r="E52" s="290"/>
      <c r="F52" s="290"/>
      <c r="G52" s="290"/>
      <c r="H52" s="290"/>
      <c r="I52" s="290"/>
      <c r="J52" s="290"/>
      <c r="K52" s="290"/>
      <c r="L52" s="290"/>
      <c r="M52" s="29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90"/>
      <c r="D53" s="290"/>
      <c r="E53" s="290"/>
      <c r="F53" s="290"/>
      <c r="G53" s="290"/>
      <c r="H53" s="290"/>
      <c r="I53" s="290"/>
      <c r="J53" s="290"/>
      <c r="K53" s="290"/>
      <c r="L53" s="290"/>
      <c r="M53" s="29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90"/>
      <c r="D54" s="290"/>
      <c r="E54" s="290"/>
      <c r="F54" s="290"/>
      <c r="G54" s="290"/>
      <c r="H54" s="290"/>
      <c r="I54" s="290"/>
      <c r="J54" s="290"/>
      <c r="K54" s="290"/>
      <c r="L54" s="290"/>
      <c r="M54" s="29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90"/>
      <c r="D56" s="290"/>
      <c r="E56" s="290"/>
      <c r="F56" s="290"/>
      <c r="G56" s="290"/>
      <c r="H56" s="290"/>
      <c r="I56" s="290"/>
      <c r="J56" s="290"/>
      <c r="K56" s="290"/>
      <c r="L56" s="290"/>
      <c r="M56" s="29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90"/>
      <c r="D57" s="290"/>
      <c r="E57" s="290"/>
      <c r="F57" s="290"/>
      <c r="G57" s="290"/>
      <c r="H57" s="290"/>
      <c r="I57" s="290"/>
      <c r="J57" s="290"/>
      <c r="K57" s="290"/>
      <c r="L57" s="290"/>
      <c r="M57" s="29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90"/>
      <c r="D59" s="290"/>
      <c r="E59" s="290"/>
      <c r="F59" s="290"/>
      <c r="G59" s="290"/>
      <c r="H59" s="290"/>
      <c r="I59" s="290"/>
      <c r="J59" s="290"/>
      <c r="K59" s="290"/>
      <c r="L59" s="290"/>
      <c r="M59" s="291"/>
    </row>
    <row r="60" spans="1:256" x14ac:dyDescent="0.2">
      <c r="A60" s="218"/>
      <c r="B60" s="219"/>
      <c r="C60" s="290"/>
      <c r="D60" s="290"/>
      <c r="E60" s="290"/>
      <c r="F60" s="290"/>
      <c r="G60" s="290"/>
      <c r="H60" s="290"/>
      <c r="I60" s="290"/>
      <c r="J60" s="290"/>
      <c r="K60" s="290"/>
      <c r="L60" s="290"/>
      <c r="M60" s="291"/>
    </row>
    <row r="61" spans="1:256" x14ac:dyDescent="0.2">
      <c r="A61" s="218"/>
      <c r="B61" s="219"/>
      <c r="C61" s="290"/>
      <c r="D61" s="290"/>
      <c r="E61" s="290"/>
      <c r="F61" s="290"/>
      <c r="G61" s="290"/>
      <c r="H61" s="290"/>
      <c r="I61" s="290"/>
      <c r="J61" s="290"/>
      <c r="K61" s="290"/>
      <c r="L61" s="290"/>
      <c r="M61" s="291"/>
    </row>
    <row r="62" spans="1:256" x14ac:dyDescent="0.2">
      <c r="A62" s="218"/>
      <c r="B62" s="219"/>
      <c r="C62" s="290"/>
      <c r="D62" s="290"/>
      <c r="E62" s="290"/>
      <c r="F62" s="290"/>
      <c r="G62" s="290"/>
      <c r="H62" s="290"/>
      <c r="I62" s="290"/>
      <c r="J62" s="290"/>
      <c r="K62" s="290"/>
      <c r="L62" s="290"/>
      <c r="M62" s="291"/>
    </row>
    <row r="63" spans="1:256" x14ac:dyDescent="0.2">
      <c r="A63" s="218"/>
      <c r="B63" s="219"/>
      <c r="C63" s="290"/>
      <c r="D63" s="290"/>
      <c r="E63" s="290"/>
      <c r="F63" s="290"/>
      <c r="G63" s="290"/>
      <c r="H63" s="290"/>
      <c r="I63" s="290"/>
      <c r="J63" s="290"/>
      <c r="K63" s="290"/>
      <c r="L63" s="290"/>
      <c r="M63" s="291"/>
    </row>
    <row r="64" spans="1:256" x14ac:dyDescent="0.2">
      <c r="A64" s="218"/>
      <c r="B64" s="219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x14ac:dyDescent="0.2">
      <c r="A65" s="218"/>
      <c r="B65" s="219"/>
      <c r="C65" s="290"/>
      <c r="D65" s="290"/>
      <c r="E65" s="290"/>
      <c r="F65" s="290"/>
      <c r="G65" s="290"/>
      <c r="H65" s="290"/>
      <c r="I65" s="290"/>
      <c r="J65" s="290"/>
      <c r="K65" s="290"/>
      <c r="L65" s="290"/>
      <c r="M65" s="291"/>
    </row>
    <row r="66" spans="1:13" x14ac:dyDescent="0.2">
      <c r="A66" s="218"/>
      <c r="B66" s="219"/>
      <c r="C66" s="290"/>
      <c r="D66" s="290"/>
      <c r="E66" s="290"/>
      <c r="F66" s="290"/>
      <c r="G66" s="290"/>
      <c r="H66" s="290"/>
      <c r="I66" s="290"/>
      <c r="J66" s="290"/>
      <c r="K66" s="290"/>
      <c r="L66" s="290"/>
      <c r="M66" s="291"/>
    </row>
    <row r="67" spans="1:13" x14ac:dyDescent="0.2">
      <c r="A67" s="218"/>
      <c r="B67" s="219"/>
      <c r="C67" s="290"/>
      <c r="D67" s="290"/>
      <c r="E67" s="290"/>
      <c r="F67" s="290"/>
      <c r="G67" s="290"/>
      <c r="H67" s="290"/>
      <c r="I67" s="290"/>
      <c r="J67" s="290"/>
      <c r="K67" s="290"/>
      <c r="L67" s="290"/>
      <c r="M67" s="291"/>
    </row>
    <row r="68" spans="1:13" x14ac:dyDescent="0.2">
      <c r="A68" s="218"/>
      <c r="B68" s="219"/>
      <c r="C68" s="290"/>
      <c r="D68" s="290"/>
      <c r="E68" s="290"/>
      <c r="F68" s="290"/>
      <c r="G68" s="290"/>
      <c r="H68" s="290"/>
      <c r="I68" s="290"/>
      <c r="J68" s="290"/>
      <c r="K68" s="290"/>
      <c r="L68" s="290"/>
      <c r="M68" s="291"/>
    </row>
    <row r="69" spans="1:13" x14ac:dyDescent="0.2">
      <c r="A69" s="218"/>
      <c r="B69" s="219"/>
      <c r="C69" s="290"/>
      <c r="D69" s="290"/>
      <c r="E69" s="290"/>
      <c r="F69" s="290"/>
      <c r="G69" s="290"/>
      <c r="H69" s="290"/>
      <c r="I69" s="290"/>
      <c r="J69" s="290"/>
      <c r="K69" s="290"/>
      <c r="L69" s="290"/>
      <c r="M69" s="291"/>
    </row>
    <row r="70" spans="1:13" ht="12" thickBot="1" x14ac:dyDescent="0.25">
      <c r="A70" s="220"/>
      <c r="B70" s="221"/>
      <c r="C70" s="303"/>
      <c r="D70" s="303"/>
      <c r="E70" s="303"/>
      <c r="F70" s="303"/>
      <c r="G70" s="303"/>
      <c r="H70" s="303"/>
      <c r="I70" s="303"/>
      <c r="J70" s="303"/>
      <c r="K70" s="303"/>
      <c r="L70" s="303"/>
      <c r="M70" s="304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5" t="s">
        <v>848</v>
      </c>
      <c r="B72" s="305"/>
      <c r="C72" s="305"/>
      <c r="D72" s="305"/>
      <c r="E72" s="30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302"/>
      <c r="D73" s="302"/>
      <c r="E73" s="302"/>
      <c r="F73" s="302"/>
      <c r="G73" s="302"/>
      <c r="H73" s="302"/>
      <c r="I73" s="302"/>
      <c r="J73" s="302"/>
      <c r="K73" s="302"/>
      <c r="L73" s="302"/>
      <c r="M73" s="302"/>
    </row>
    <row r="74" spans="1:13" x14ac:dyDescent="0.2">
      <c r="A74" s="211"/>
      <c r="B74" s="211"/>
      <c r="C74" s="302"/>
      <c r="D74" s="302"/>
      <c r="E74" s="302"/>
      <c r="F74" s="302"/>
      <c r="G74" s="302"/>
      <c r="H74" s="302"/>
      <c r="I74" s="302"/>
      <c r="J74" s="302"/>
      <c r="K74" s="302"/>
      <c r="L74" s="302"/>
      <c r="M74" s="302"/>
    </row>
    <row r="75" spans="1:13" x14ac:dyDescent="0.2">
      <c r="A75" s="211"/>
      <c r="B75" s="211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</row>
    <row r="76" spans="1:13" x14ac:dyDescent="0.2">
      <c r="A76" s="211"/>
      <c r="B76" s="211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</row>
    <row r="77" spans="1:13" x14ac:dyDescent="0.2">
      <c r="A77" s="211"/>
      <c r="B77" s="211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</row>
    <row r="78" spans="1:13" x14ac:dyDescent="0.2">
      <c r="A78" s="211"/>
      <c r="B78" s="211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</row>
    <row r="79" spans="1:13" x14ac:dyDescent="0.2">
      <c r="A79" s="211"/>
      <c r="B79" s="211"/>
      <c r="C79" s="302"/>
      <c r="D79" s="302"/>
      <c r="E79" s="302"/>
      <c r="F79" s="302"/>
      <c r="G79" s="302"/>
      <c r="H79" s="302"/>
      <c r="I79" s="302"/>
      <c r="J79" s="302"/>
      <c r="K79" s="302"/>
      <c r="L79" s="302"/>
      <c r="M79" s="302"/>
    </row>
    <row r="80" spans="1:13" x14ac:dyDescent="0.2">
      <c r="A80" s="211"/>
      <c r="B80" s="211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</row>
    <row r="81" spans="1:13" x14ac:dyDescent="0.2">
      <c r="A81" s="211"/>
      <c r="B81" s="211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</row>
    <row r="82" spans="1:13" x14ac:dyDescent="0.2">
      <c r="A82" s="211"/>
      <c r="B82" s="211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</row>
    <row r="83" spans="1:13" x14ac:dyDescent="0.2">
      <c r="A83" s="211"/>
      <c r="B83" s="211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</row>
    <row r="84" spans="1:13" x14ac:dyDescent="0.2">
      <c r="A84" s="211"/>
      <c r="B84" s="211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</row>
    <row r="85" spans="1:13" x14ac:dyDescent="0.2">
      <c r="A85" s="211"/>
      <c r="B85" s="211"/>
      <c r="C85" s="302"/>
      <c r="D85" s="302"/>
      <c r="E85" s="302"/>
      <c r="F85" s="302"/>
      <c r="G85" s="302"/>
      <c r="H85" s="302"/>
      <c r="I85" s="302"/>
      <c r="J85" s="302"/>
      <c r="K85" s="302"/>
      <c r="L85" s="302"/>
      <c r="M85" s="302"/>
    </row>
    <row r="86" spans="1:13" x14ac:dyDescent="0.2">
      <c r="A86" s="211"/>
      <c r="B86" s="211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</row>
    <row r="87" spans="1:13" x14ac:dyDescent="0.2">
      <c r="A87" s="211"/>
      <c r="B87" s="211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</row>
    <row r="88" spans="1:13" x14ac:dyDescent="0.2">
      <c r="A88" s="211"/>
      <c r="B88" s="211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</row>
    <row r="89" spans="1:13" x14ac:dyDescent="0.2">
      <c r="A89" s="211"/>
      <c r="B89" s="211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</row>
    <row r="90" spans="1:13" x14ac:dyDescent="0.2">
      <c r="A90" s="211"/>
      <c r="B90" s="211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2013-10-29T14:35:58Z</cp:lastPrinted>
  <dcterms:created xsi:type="dcterms:W3CDTF">1997-12-04T19:04:30Z</dcterms:created>
  <dcterms:modified xsi:type="dcterms:W3CDTF">2013-12-05T18:44:55Z</dcterms:modified>
</cp:coreProperties>
</file>