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30" i="1" l="1"/>
  <c r="G530" i="1" s="1"/>
  <c r="J471" i="1" l="1"/>
  <c r="H158" i="1" l="1"/>
  <c r="C20" i="12" l="1"/>
  <c r="C19" i="12"/>
  <c r="C12" i="12"/>
  <c r="C11" i="12"/>
  <c r="C10" i="12"/>
  <c r="D9" i="13"/>
  <c r="G464" i="1" l="1"/>
  <c r="H590" i="1"/>
  <c r="H594" i="1"/>
  <c r="G525" i="1"/>
  <c r="G520" i="1"/>
  <c r="I520" i="1"/>
  <c r="H520" i="1"/>
  <c r="F520" i="1"/>
  <c r="I525" i="1"/>
  <c r="F525" i="1"/>
  <c r="J520" i="1"/>
  <c r="G498" i="1"/>
  <c r="G497" i="1"/>
  <c r="F498" i="1"/>
  <c r="I206" i="1" l="1"/>
  <c r="H206" i="1"/>
  <c r="I204" i="1"/>
  <c r="G202" i="1"/>
  <c r="H201" i="1"/>
  <c r="I196" i="1"/>
  <c r="F366" i="1"/>
  <c r="I357" i="1"/>
  <c r="H471" i="1"/>
  <c r="G467" i="1"/>
  <c r="F467" i="1"/>
  <c r="J357" i="1"/>
  <c r="H357" i="1"/>
  <c r="F357" i="1"/>
  <c r="G276" i="1"/>
  <c r="G275" i="1"/>
  <c r="I276" i="1"/>
  <c r="H276" i="1"/>
  <c r="H204" i="1"/>
  <c r="G197" i="1"/>
  <c r="G206" i="1"/>
  <c r="G204" i="1"/>
  <c r="G201" i="1"/>
  <c r="G196" i="1"/>
  <c r="H196" i="1"/>
  <c r="H197" i="1"/>
  <c r="G9" i="1"/>
  <c r="F24" i="1"/>
  <c r="F14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L316" i="1"/>
  <c r="E111" i="2" s="1"/>
  <c r="L318" i="1"/>
  <c r="L319" i="1"/>
  <c r="L320" i="1"/>
  <c r="E119" i="2" s="1"/>
  <c r="L321" i="1"/>
  <c r="L322" i="1"/>
  <c r="C19" i="10" s="1"/>
  <c r="L323" i="1"/>
  <c r="L324" i="1"/>
  <c r="E123" i="2" s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B27" i="12"/>
  <c r="C27" i="12"/>
  <c r="B31" i="12"/>
  <c r="C31" i="12"/>
  <c r="B9" i="12"/>
  <c r="B13" i="12" s="1"/>
  <c r="C9" i="12"/>
  <c r="B18" i="12"/>
  <c r="B22" i="12"/>
  <c r="C18" i="12"/>
  <c r="B1" i="12"/>
  <c r="L386" i="1"/>
  <c r="L387" i="1"/>
  <c r="L388" i="1"/>
  <c r="L392" i="1" s="1"/>
  <c r="C137" i="2" s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7" i="10"/>
  <c r="L249" i="1"/>
  <c r="L331" i="1"/>
  <c r="C23" i="10" s="1"/>
  <c r="L253" i="1"/>
  <c r="C25" i="10"/>
  <c r="L267" i="1"/>
  <c r="L268" i="1"/>
  <c r="L348" i="1"/>
  <c r="L349" i="1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10" i="2"/>
  <c r="E110" i="2"/>
  <c r="C112" i="2"/>
  <c r="E112" i="2"/>
  <c r="C113" i="2"/>
  <c r="E113" i="2"/>
  <c r="D114" i="2"/>
  <c r="F114" i="2"/>
  <c r="G114" i="2"/>
  <c r="C117" i="2"/>
  <c r="E117" i="2"/>
  <c r="E118" i="2"/>
  <c r="C119" i="2"/>
  <c r="C120" i="2"/>
  <c r="E120" i="2"/>
  <c r="C121" i="2"/>
  <c r="E122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G50" i="1"/>
  <c r="G622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G337" i="1" s="1"/>
  <c r="G351" i="1" s="1"/>
  <c r="H327" i="1"/>
  <c r="H337" i="1" s="1"/>
  <c r="H351" i="1" s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I469" i="1"/>
  <c r="J469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K544" i="1" s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5" i="1"/>
  <c r="K596" i="1"/>
  <c r="H597" i="1"/>
  <c r="H648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3" i="1"/>
  <c r="G624" i="1"/>
  <c r="H629" i="1"/>
  <c r="H630" i="1"/>
  <c r="H635" i="1"/>
  <c r="H636" i="1"/>
  <c r="H637" i="1"/>
  <c r="G638" i="1"/>
  <c r="H638" i="1"/>
  <c r="G639" i="1"/>
  <c r="G640" i="1"/>
  <c r="H640" i="1"/>
  <c r="G641" i="1"/>
  <c r="G642" i="1"/>
  <c r="G643" i="1"/>
  <c r="H643" i="1"/>
  <c r="G644" i="1"/>
  <c r="G649" i="1"/>
  <c r="G650" i="1"/>
  <c r="G651" i="1"/>
  <c r="H651" i="1"/>
  <c r="G652" i="1"/>
  <c r="H652" i="1"/>
  <c r="G653" i="1"/>
  <c r="H653" i="1"/>
  <c r="H654" i="1"/>
  <c r="F191" i="1"/>
  <c r="L255" i="1"/>
  <c r="F31" i="2"/>
  <c r="C26" i="10"/>
  <c r="L350" i="1"/>
  <c r="C69" i="2"/>
  <c r="D12" i="13"/>
  <c r="C12" i="13" s="1"/>
  <c r="D61" i="2"/>
  <c r="D62" i="2" s="1"/>
  <c r="E49" i="2"/>
  <c r="D18" i="13"/>
  <c r="C18" i="13" s="1"/>
  <c r="D7" i="13"/>
  <c r="C7" i="13" s="1"/>
  <c r="F102" i="2"/>
  <c r="D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57" i="2"/>
  <c r="G155" i="2"/>
  <c r="E143" i="2"/>
  <c r="G102" i="2"/>
  <c r="E102" i="2"/>
  <c r="C102" i="2"/>
  <c r="D90" i="2"/>
  <c r="F90" i="2"/>
  <c r="E61" i="2"/>
  <c r="E62" i="2" s="1"/>
  <c r="E31" i="2"/>
  <c r="E50" i="2" s="1"/>
  <c r="C31" i="2"/>
  <c r="D19" i="13"/>
  <c r="C19" i="13" s="1"/>
  <c r="E77" i="2"/>
  <c r="E80" i="2" s="1"/>
  <c r="L42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475" i="1"/>
  <c r="H625" i="1" s="1"/>
  <c r="I475" i="1"/>
  <c r="H624" i="1" s="1"/>
  <c r="J624" i="1" s="1"/>
  <c r="F168" i="1"/>
  <c r="J139" i="1"/>
  <c r="F570" i="1"/>
  <c r="I551" i="1"/>
  <c r="K548" i="1"/>
  <c r="K549" i="1"/>
  <c r="G22" i="2"/>
  <c r="H551" i="1"/>
  <c r="C29" i="10"/>
  <c r="H139" i="1"/>
  <c r="L400" i="1"/>
  <c r="C138" i="2" s="1"/>
  <c r="F22" i="13"/>
  <c r="C22" i="13" s="1"/>
  <c r="H25" i="13"/>
  <c r="C25" i="13" s="1"/>
  <c r="H570" i="1"/>
  <c r="L559" i="1"/>
  <c r="J544" i="1"/>
  <c r="G191" i="1"/>
  <c r="H191" i="1"/>
  <c r="C35" i="10"/>
  <c r="L308" i="1"/>
  <c r="E16" i="13"/>
  <c r="J654" i="1"/>
  <c r="L569" i="1"/>
  <c r="I570" i="1"/>
  <c r="J635" i="1"/>
  <c r="G36" i="2"/>
  <c r="L564" i="1"/>
  <c r="G544" i="1"/>
  <c r="K550" i="1"/>
  <c r="H33" i="13"/>
  <c r="J642" i="1" l="1"/>
  <c r="J644" i="1"/>
  <c r="A31" i="12"/>
  <c r="I544" i="1"/>
  <c r="H544" i="1"/>
  <c r="F551" i="1"/>
  <c r="G160" i="2"/>
  <c r="D29" i="13"/>
  <c r="C29" i="13" s="1"/>
  <c r="J633" i="1"/>
  <c r="G660" i="1"/>
  <c r="L289" i="1"/>
  <c r="H661" i="1"/>
  <c r="J337" i="1"/>
  <c r="J351" i="1" s="1"/>
  <c r="E121" i="2"/>
  <c r="E127" i="2" s="1"/>
  <c r="C13" i="10"/>
  <c r="C21" i="10"/>
  <c r="E13" i="13"/>
  <c r="C13" i="13" s="1"/>
  <c r="C111" i="2"/>
  <c r="C18" i="10"/>
  <c r="H51" i="1"/>
  <c r="H618" i="1" s="1"/>
  <c r="J618" i="1" s="1"/>
  <c r="E18" i="2"/>
  <c r="K551" i="1"/>
  <c r="L523" i="1"/>
  <c r="G163" i="2"/>
  <c r="C80" i="2"/>
  <c r="G51" i="1"/>
  <c r="H617" i="1" s="1"/>
  <c r="J617" i="1" s="1"/>
  <c r="C18" i="2"/>
  <c r="E33" i="13"/>
  <c r="D35" i="13" s="1"/>
  <c r="J551" i="1"/>
  <c r="L543" i="1"/>
  <c r="L544" i="1" s="1"/>
  <c r="J650" i="1"/>
  <c r="K502" i="1"/>
  <c r="G159" i="2"/>
  <c r="K499" i="1"/>
  <c r="J639" i="1"/>
  <c r="G616" i="1"/>
  <c r="F337" i="1"/>
  <c r="F351" i="1" s="1"/>
  <c r="E114" i="2"/>
  <c r="L327" i="1"/>
  <c r="C10" i="10"/>
  <c r="F660" i="1"/>
  <c r="H660" i="1"/>
  <c r="L361" i="1"/>
  <c r="G471" i="1" s="1"/>
  <c r="D144" i="2"/>
  <c r="D14" i="13"/>
  <c r="C14" i="13" s="1"/>
  <c r="G256" i="1"/>
  <c r="G270" i="1" s="1"/>
  <c r="C15" i="10"/>
  <c r="C123" i="2"/>
  <c r="C20" i="10"/>
  <c r="C16" i="10"/>
  <c r="D6" i="13"/>
  <c r="C6" i="13" s="1"/>
  <c r="L246" i="1"/>
  <c r="D5" i="13"/>
  <c r="C5" i="13" s="1"/>
  <c r="H646" i="1"/>
  <c r="F661" i="1"/>
  <c r="C16" i="13"/>
  <c r="C122" i="2"/>
  <c r="L228" i="1"/>
  <c r="G659" i="1" s="1"/>
  <c r="G663" i="1" s="1"/>
  <c r="G666" i="1" s="1"/>
  <c r="C118" i="2"/>
  <c r="J256" i="1"/>
  <c r="J270" i="1" s="1"/>
  <c r="H256" i="1"/>
  <c r="H270" i="1" s="1"/>
  <c r="K256" i="1"/>
  <c r="K270" i="1" s="1"/>
  <c r="I256" i="1"/>
  <c r="I270" i="1" s="1"/>
  <c r="C11" i="10"/>
  <c r="D15" i="13"/>
  <c r="C15" i="13" s="1"/>
  <c r="G648" i="1"/>
  <c r="J648" i="1" s="1"/>
  <c r="C109" i="2"/>
  <c r="C114" i="2" s="1"/>
  <c r="L210" i="1"/>
  <c r="C61" i="2"/>
  <c r="C62" i="2" s="1"/>
  <c r="C24" i="10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168" i="1"/>
  <c r="C39" i="10" s="1"/>
  <c r="G139" i="1"/>
  <c r="F139" i="1"/>
  <c r="F192" i="1" s="1"/>
  <c r="C36" i="10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G49" i="2"/>
  <c r="G50" i="2" s="1"/>
  <c r="J651" i="1"/>
  <c r="J641" i="1"/>
  <c r="G570" i="1"/>
  <c r="I433" i="1"/>
  <c r="G433" i="1"/>
  <c r="I662" i="1"/>
  <c r="G628" i="1" l="1"/>
  <c r="H467" i="1"/>
  <c r="C127" i="2"/>
  <c r="L337" i="1"/>
  <c r="L351" i="1" s="1"/>
  <c r="F659" i="1"/>
  <c r="F663" i="1" s="1"/>
  <c r="E144" i="2"/>
  <c r="I661" i="1"/>
  <c r="H645" i="1"/>
  <c r="C27" i="10"/>
  <c r="C28" i="10" s="1"/>
  <c r="D24" i="10" s="1"/>
  <c r="C40" i="12"/>
  <c r="A40" i="12" s="1"/>
  <c r="C13" i="12"/>
  <c r="A13" i="12" s="1"/>
  <c r="C103" i="2"/>
  <c r="G626" i="1"/>
  <c r="C22" i="12"/>
  <c r="A22" i="12" s="1"/>
  <c r="C48" i="2"/>
  <c r="H659" i="1"/>
  <c r="H663" i="1" s="1"/>
  <c r="H671" i="1" s="1"/>
  <c r="C6" i="10" s="1"/>
  <c r="D31" i="13"/>
  <c r="C31" i="13" s="1"/>
  <c r="I660" i="1"/>
  <c r="G634" i="1"/>
  <c r="H647" i="1"/>
  <c r="J647" i="1" s="1"/>
  <c r="G671" i="1"/>
  <c r="C5" i="10" s="1"/>
  <c r="C144" i="2"/>
  <c r="L256" i="1"/>
  <c r="L270" i="1" s="1"/>
  <c r="F471" i="1" s="1"/>
  <c r="G630" i="1"/>
  <c r="J630" i="1" s="1"/>
  <c r="J645" i="1"/>
  <c r="G192" i="1"/>
  <c r="G625" i="1"/>
  <c r="J625" i="1" s="1"/>
  <c r="J51" i="1"/>
  <c r="H620" i="1" s="1"/>
  <c r="J620" i="1" s="1"/>
  <c r="C38" i="10"/>
  <c r="H634" i="1" l="1"/>
  <c r="G473" i="1"/>
  <c r="J634" i="1"/>
  <c r="G632" i="1"/>
  <c r="H473" i="1"/>
  <c r="H632" i="1"/>
  <c r="G627" i="1"/>
  <c r="G631" i="1"/>
  <c r="F469" i="1"/>
  <c r="H626" i="1"/>
  <c r="J626" i="1" s="1"/>
  <c r="I659" i="1"/>
  <c r="I663" i="1" s="1"/>
  <c r="I671" i="1" s="1"/>
  <c r="C7" i="10" s="1"/>
  <c r="H666" i="1"/>
  <c r="D33" i="13"/>
  <c r="D36" i="13" s="1"/>
  <c r="D10" i="10"/>
  <c r="D23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71" i="1"/>
  <c r="C4" i="10" s="1"/>
  <c r="F666" i="1"/>
  <c r="C41" i="10"/>
  <c r="D38" i="10" s="1"/>
  <c r="J632" i="1" l="1"/>
  <c r="H628" i="1"/>
  <c r="J628" i="1" s="1"/>
  <c r="H469" i="1"/>
  <c r="H475" i="1" s="1"/>
  <c r="H623" i="1" s="1"/>
  <c r="J623" i="1" s="1"/>
  <c r="G469" i="1"/>
  <c r="G475" i="1" s="1"/>
  <c r="H622" i="1" s="1"/>
  <c r="J622" i="1" s="1"/>
  <c r="H627" i="1"/>
  <c r="J627" i="1" s="1"/>
  <c r="F473" i="1"/>
  <c r="F475" i="1" s="1"/>
  <c r="H621" i="1" s="1"/>
  <c r="H631" i="1"/>
  <c r="J631" i="1" s="1"/>
  <c r="I666" i="1"/>
  <c r="D28" i="10"/>
  <c r="D37" i="10"/>
  <c r="D36" i="10"/>
  <c r="D35" i="10"/>
  <c r="D40" i="10"/>
  <c r="D39" i="10"/>
  <c r="D41" i="10" l="1"/>
  <c r="C35" i="2" l="1"/>
  <c r="C49" i="2" s="1"/>
  <c r="C50" i="2" s="1"/>
  <c r="F50" i="1"/>
  <c r="G621" i="1" s="1"/>
  <c r="J621" i="1" l="1"/>
  <c r="F51" i="1"/>
  <c r="H616" i="1" s="1"/>
  <c r="J616" i="1" s="1"/>
  <c r="K594" i="1" l="1"/>
  <c r="K597" i="1"/>
  <c r="G646" i="1" s="1"/>
  <c r="I597" i="1"/>
  <c r="H649" i="1"/>
  <c r="J649" i="1" s="1"/>
  <c r="H655" i="1" l="1"/>
  <c r="J64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<sst xmlns="http://schemas.openxmlformats.org/spreadsheetml/2006/main" count="3948" uniqueCount="912">
  <si>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</si>
  <si>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</si>
  <si>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</si>
  <si>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</si>
  <si>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</si>
  <si>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</si>
  <si>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</si>
  <si>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</si>
  <si>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</si>
  <si>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</si>
  <si>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</si>
  <si>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</si>
  <si>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</si>
  <si>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</si>
  <si>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</si>
  <si>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</si>
  <si>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</si>
  <si>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</si>
  <si>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</si>
  <si>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</si>
  <si>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</si>
  <si>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</si>
  <si>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</si>
  <si>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</si>
  <si>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</si>
  <si>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</si>
  <si>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</si>
  <si>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</si>
  <si>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</si>
  <si>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</si>
  <si>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</si>
  <si>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</si>
  <si>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</si>
  <si>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</si>
  <si>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</si>
  <si>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</si>
  <si>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</si>
  <si>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</si>
  <si>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</si>
  <si>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</si>
  <si>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</si>
  <si>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</si>
  <si>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</si>
  <si>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</si>
  <si>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</si>
  <si>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</si>
  <si>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</si>
  <si>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</si>
  <si>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</si>
  <si>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</si>
  <si>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</si>
  <si>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</si>
  <si>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</si>
  <si>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</si>
  <si>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</si>
  <si>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</si>
  <si>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</si>
  <si>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</si>
  <si>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</si>
  <si>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</si>
  <si>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</si>
  <si>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</si>
  <si>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</si>
  <si>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</si>
  <si>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</si>
  <si>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</si>
  <si>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</si>
  <si>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</si>
  <si>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</si>
  <si>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</si>
  <si>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</si>
  <si>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</si>
  <si>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</si>
  <si>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</si>
  <si>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</si>
  <si>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</si>
  <si>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</si>
  <si>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</si>
  <si>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</si>
  <si>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</si>
  <si>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</si>
  <si>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</si>
  <si>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</si>
  <si>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</si>
  <si>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</si>
  <si>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</si>
  <si>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</si>
  <si>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</si>
  <si>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</si>
  <si>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</si>
  <si>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</si>
  <si>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</si>
  <si>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</si>
  <si>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</si>
  <si>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</si>
  <si>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</si>
  <si>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</si>
  <si>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</si>
  <si>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</si>
  <si>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</si>
  <si>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</si>
  <si>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</si>
  <si>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</si>
  <si>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</si>
  <si>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</si>
  <si>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</si>
  <si>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</si>
  <si>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</si>
  <si>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</si>
  <si>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</si>
  <si>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</si>
  <si>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</si>
  <si>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</si>
  <si>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</si>
  <si>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</si>
  <si>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</si>
  <si>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</si>
  <si>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</si>
  <si>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</si>
  <si>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</si>
  <si>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</si>
  <si>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</si>
  <si>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</si>
  <si>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</si>
  <si>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</si>
  <si>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</si>
  <si>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</si>
  <si>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</si>
  <si>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</si>
  <si>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</si>
  <si>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</si>
  <si>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</si>
  <si>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</si>
  <si>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</si>
  <si>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</si>
  <si>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</si>
  <si>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</si>
  <si>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</si>
  <si>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</si>
  <si>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</si>
  <si>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</si>
  <si>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</si>
  <si>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</si>
  <si>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</si>
  <si>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</si>
  <si>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</si>
  <si>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</si>
  <si>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</si>
  <si>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</si>
  <si>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</si>
  <si>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</si>
  <si>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</si>
  <si>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</si>
  <si>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</si>
  <si>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</si>
  <si>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</si>
  <si>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</si>
  <si>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</si>
  <si>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</si>
  <si>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</si>
  <si>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</si>
  <si>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</si>
  <si>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</si>
  <si>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</si>
  <si>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</si>
  <si>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</si>
  <si>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</si>
  <si>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</si>
  <si>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</si>
  <si>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</si>
  <si>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</si>
  <si>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</si>
  <si>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</si>
  <si>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</si>
  <si>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</si>
  <si>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</si>
  <si>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</si>
  <si>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</si>
  <si>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</si>
  <si>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</si>
  <si>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</si>
  <si>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</si>
  <si>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</si>
  <si>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</si>
  <si>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</si>
  <si>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</si>
  <si>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</si>
  <si>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</si>
  <si>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</si>
  <si>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</si>
  <si>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</si>
  <si>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</si>
  <si>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</si>
  <si>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</si>
  <si>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</si>
  <si>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</si>
  <si>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</si>
  <si>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</si>
  <si>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</si>
  <si>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</si>
  <si>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</si>
  <si>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</si>
  <si>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</si>
  <si>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</si>
  <si>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</si>
  <si>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</si>
  <si>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</si>
  <si>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</si>
  <si>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</si>
  <si>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</si>
  <si>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</si>
  <si>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</si>
  <si>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</si>
  <si>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</si>
  <si>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</si>
  <si>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</si>
  <si>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</si>
  <si>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</si>
  <si>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</si>
  <si>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</si>
  <si>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</si>
  <si>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</si>
  <si>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</si>
  <si>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</si>
  <si>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</si>
  <si>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</si>
  <si>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</si>
  <si>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</si>
  <si>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</si>
  <si>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</si>
  <si>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</si>
  <si>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</si>
  <si>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</si>
  <si>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</si>
  <si>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</si>
  <si>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</si>
  <si>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</si>
  <si>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</si>
  <si>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</si>
  <si>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</si>
  <si>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</si>
  <si>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</si>
  <si>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</si>
  <si>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</si>
  <si>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</si>
  <si>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</si>
  <si>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</si>
  <si>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</si>
  <si>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</si>
  <si>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</si>
  <si>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</si>
  <si>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</si>
  <si>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</si>
  <si>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</si>
  <si>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</si>
  <si>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</si>
  <si>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</si>
  <si>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</si>
  <si>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</si>
  <si>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</si>
  <si>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</si>
  <si>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</si>
  <si>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</si>
  <si>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</si>
  <si>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</si>
  <si>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</si>
  <si>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</si>
  <si>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</si>
  <si>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</si>
  <si>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</si>
  <si>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</si>
  <si>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</si>
  <si>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</si>
  <si>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</si>
  <si>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</si>
  <si>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</si>
  <si>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</si>
  <si>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</si>
  <si>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</si>
  <si>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</si>
  <si>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</si>
  <si>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</si>
  <si>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</si>
  <si>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</si>
  <si>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</si>
  <si>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</si>
  <si>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</si>
  <si>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</si>
  <si>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</si>
  <si>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</si>
  <si>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</si>
  <si>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</si>
  <si>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</si>
  <si>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</si>
  <si>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</si>
  <si>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</si>
  <si>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</si>
  <si>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</si>
  <si>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</si>
  <si>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</si>
  <si>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</si>
  <si>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</si>
  <si>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</si>
  <si>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</si>
  <si>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</si>
  <si>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</si>
  <si>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</si>
  <si>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</si>
  <si>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</si>
  <si>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</si>
  <si>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</si>
  <si>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</si>
  <si>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</si>
  <si>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</si>
  <si>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</si>
  <si>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</si>
  <si>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</si>
  <si>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</si>
  <si>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</si>
  <si>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</si>
  <si>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</si>
  <si>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</si>
  <si>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</si>
  <si>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</si>
  <si>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</si>
  <si>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</si>
  <si>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</si>
  <si>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</si>
  <si>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</si>
  <si>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</si>
  <si>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</si>
  <si>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</si>
  <si>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</si>
  <si>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</si>
  <si>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</si>
  <si>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</si>
  <si>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</si>
  <si>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</si>
  <si>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</si>
  <si>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</si>
  <si>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</si>
  <si>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</si>
  <si>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</si>
  <si>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</si>
  <si>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</si>
  <si>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</si>
  <si>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</si>
  <si>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</si>
  <si>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</si>
  <si>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</si>
  <si>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</si>
  <si>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</si>
  <si>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</si>
  <si>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</si>
  <si>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</si>
  <si>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</si>
  <si>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</si>
  <si>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</si>
  <si>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</si>
  <si>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</si>
  <si>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</si>
  <si>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</si>
  <si>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</si>
  <si>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</si>
  <si>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</si>
  <si>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</si>
  <si>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</si>
  <si>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</si>
  <si>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</si>
  <si>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</si>
  <si>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</si>
  <si>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</si>
  <si>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</si>
  <si>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</si>
  <si>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</si>
  <si>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</si>
  <si>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</si>
  <si>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</si>
  <si>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</si>
  <si>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</si>
  <si>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</si>
  <si>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</si>
  <si>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</si>
  <si>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</si>
  <si>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</si>
  <si>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</si>
  <si>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</si>
  <si>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</si>
  <si>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</si>
  <si>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</si>
  <si>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</si>
  <si>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</si>
  <si>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</si>
  <si>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</si>
  <si>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</si>
  <si>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</si>
  <si>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</si>
  <si>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</si>
  <si>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</si>
  <si>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</si>
  <si>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</si>
  <si>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</si>
  <si>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</si>
  <si>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</si>
  <si>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</si>
  <si>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</si>
  <si>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</si>
  <si>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</si>
  <si>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</si>
  <si>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</si>
  <si>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</si>
  <si>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</si>
  <si>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</si>
  <si>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</si>
  <si>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</si>
  <si>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</si>
  <si>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</si>
  <si>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</si>
  <si>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</si>
  <si>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</si>
  <si>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</si>
  <si>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</si>
  <si>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</si>
  <si>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</si>
  <si>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</si>
  <si>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</si>
  <si>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</si>
  <si>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</si>
  <si>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</si>
  <si>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</si>
  <si>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</si>
  <si>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</si>
  <si>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</si>
  <si>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</si>
  <si>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</si>
  <si>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</si>
  <si>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</si>
  <si>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</si>
  <si>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</si>
  <si>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</si>
  <si>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</si>
  <si>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</si>
  <si>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</si>
  <si>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</si>
  <si>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</si>
  <si>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</si>
  <si>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</si>
  <si>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</si>
  <si>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</si>
  <si>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</si>
  <si>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</si>
  <si>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</si>
  <si>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</si>
  <si>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</si>
  <si>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</si>
  <si>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</si>
  <si>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</si>
  <si>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</si>
  <si>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</si>
  <si>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</si>
  <si>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</si>
  <si>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</si>
  <si>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</si>
  <si>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</si>
  <si>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</si>
  <si>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</si>
  <si>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</si>
  <si>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</si>
  <si>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</si>
  <si>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</si>
  <si>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</si>
  <si>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</si>
  <si>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</si>
  <si>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</si>
  <si>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</si>
  <si>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</si>
  <si>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</si>
  <si>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</si>
  <si>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</si>
  <si>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</si>
  <si>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</si>
  <si>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</si>
  <si>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</si>
  <si>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</si>
  <si>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</si>
  <si>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</si>
  <si>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</si>
  <si>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</si>
  <si>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</si>
  <si>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</si>
  <si>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</si>
  <si>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</si>
  <si>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</si>
  <si>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</si>
  <si>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</si>
  <si>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</si>
  <si>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</si>
  <si>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</si>
  <si>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</si>
  <si>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</si>
  <si>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</si>
  <si>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</si>
  <si>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</si>
  <si>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</si>
  <si>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</si>
  <si>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</si>
  <si>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</si>
  <si>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</si>
  <si>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</si>
  <si>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</si>
  <si>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</si>
  <si>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</si>
  <si>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</si>
  <si>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</si>
  <si>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</si>
  <si>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</si>
  <si>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</si>
  <si>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</si>
  <si>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</si>
  <si>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</si>
  <si>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</si>
  <si>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</si>
  <si>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</si>
  <si>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</si>
  <si>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</si>
  <si>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</si>
  <si>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</si>
  <si>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</si>
  <si>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</si>
  <si>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</si>
  <si>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</si>
  <si>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</si>
  <si>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</si>
  <si>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</si>
  <si>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</si>
  <si>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</si>
  <si>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</si>
  <si>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</si>
  <si>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</si>
  <si>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</si>
  <si>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</si>
  <si>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</si>
  <si>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</si>
  <si>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</si>
  <si>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</si>
  <si>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</si>
  <si>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</si>
  <si>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</si>
  <si>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</si>
  <si>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</si>
  <si>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</si>
  <si>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</si>
  <si>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</si>
  <si>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</si>
  <si>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</si>
  <si>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</si>
  <si>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</si>
  <si>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</si>
  <si>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</si>
  <si>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</si>
  <si>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</si>
  <si>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</si>
  <si>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</si>
  <si>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</si>
  <si>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</si>
  <si>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</si>
  <si>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</si>
  <si>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</si>
  <si>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</si>
  <si>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</si>
  <si>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</si>
  <si>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</si>
  <si>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</si>
  <si>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</si>
  <si>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</si>
  <si>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</si>
  <si>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</si>
  <si>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</si>
  <si>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</si>
  <si>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</si>
  <si>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</si>
  <si>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</si>
  <si>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</si>
  <si>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</si>
  <si>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</si>
  <si>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</si>
  <si>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</si>
  <si>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</si>
  <si>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</si>
  <si>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</si>
  <si>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</si>
  <si>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</si>
  <si>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</si>
  <si>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</si>
  <si>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</si>
  <si>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</si>
  <si>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</si>
  <si>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</si>
  <si>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</si>
  <si>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</si>
  <si>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</si>
  <si>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</si>
  <si>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</si>
  <si>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</si>
  <si>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</si>
  <si>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</si>
  <si>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</si>
  <si>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</si>
  <si>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</si>
  <si>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</si>
  <si>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</si>
  <si>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</si>
  <si>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</si>
  <si>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</si>
  <si>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</si>
  <si>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</si>
  <si>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</si>
  <si>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</si>
  <si>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</si>
  <si>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</si>
  <si>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</si>
  <si>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</si>
  <si>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</si>
  <si>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</si>
  <si>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</si>
  <si>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</si>
  <si>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</si>
  <si>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</si>
  <si>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</si>
  <si>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</si>
  <si>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</si>
  <si>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</si>
  <si>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</si>
  <si>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</si>
  <si>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</si>
  <si>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</si>
  <si>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</si>
  <si>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</si>
  <si>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</si>
  <si>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</si>
  <si>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</si>
  <si>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</si>
  <si>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</si>
  <si>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</si>
  <si>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</si>
  <si>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</si>
  <si>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</si>
  <si>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</si>
  <si>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</si>
  <si>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</si>
  <si>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</si>
  <si>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</si>
  <si>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</si>
  <si>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</si>
  <si>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</si>
  <si>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</si>
  <si>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</si>
  <si>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</si>
  <si>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</si>
  <si>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</si>
  <si>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</si>
  <si>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</si>
  <si>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</si>
  <si>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</si>
  <si>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</si>
  <si>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</si>
  <si>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</si>
  <si>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</si>
  <si>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</si>
  <si>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</si>
  <si>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</si>
  <si>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</si>
  <si>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</si>
  <si>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</si>
  <si>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</si>
  <si>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</si>
  <si>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</si>
  <si>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</si>
  <si>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</si>
  <si>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</si>
  <si>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</si>
  <si>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</si>
  <si>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</si>
  <si>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</si>
  <si>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</si>
  <si>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</si>
  <si>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</si>
  <si>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</si>
  <si>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</si>
  <si>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</si>
  <si>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</si>
  <si>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</si>
  <si>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</si>
  <si>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</si>
  <si>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</si>
  <si>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</si>
  <si>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</si>
  <si>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</si>
  <si>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</si>
  <si>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</si>
  <si>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</si>
  <si>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</si>
  <si>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</si>
  <si>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</si>
  <si>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</si>
  <si>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</si>
  <si>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</si>
  <si>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</si>
  <si>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</si>
  <si>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</si>
  <si>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</si>
  <si>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</si>
  <si>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</si>
  <si>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</si>
  <si>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</si>
  <si>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</si>
  <si>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</si>
  <si>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</si>
  <si>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</si>
  <si>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</si>
  <si>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</si>
  <si>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</si>
  <si>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</si>
  <si>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</si>
  <si>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</si>
  <si>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</si>
  <si>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</si>
  <si>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</si>
  <si>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</si>
  <si>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</si>
  <si>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</si>
  <si>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</si>
  <si>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</si>
  <si>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</si>
  <si>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</si>
  <si>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</si>
  <si>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</si>
  <si>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</si>
  <si>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</si>
  <si>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</si>
  <si>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</si>
  <si>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</si>
  <si>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</si>
  <si>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</si>
  <si>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</si>
  <si>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</si>
  <si>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</si>
  <si>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</si>
  <si>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</si>
  <si>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</si>
  <si>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</si>
  <si>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</si>
  <si>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</si>
  <si>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</si>
  <si>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</si>
  <si>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</si>
  <si>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</si>
  <si>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</si>
  <si>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</si>
  <si>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</si>
  <si>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</si>
  <si>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</si>
  <si>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</si>
  <si>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</si>
  <si>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</si>
  <si>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</si>
  <si>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</si>
  <si>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</si>
  <si>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</si>
  <si>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</si>
  <si>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</si>
  <si>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</si>
  <si>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</si>
  <si>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</si>
  <si>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</si>
  <si>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</si>
  <si>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</si>
  <si>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</si>
  <si>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</si>
  <si>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</si>
  <si>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</si>
  <si>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</si>
  <si>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</si>
  <si>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</si>
  <si>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</si>
  <si>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</si>
  <si>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</si>
  <si>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</si>
  <si>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</si>
  <si>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</si>
  <si>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</si>
  <si>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</si>
  <si>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</si>
  <si>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</si>
  <si>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</si>
  <si>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</si>
  <si>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</si>
  <si>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</si>
  <si>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</si>
  <si>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</si>
  <si>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</si>
  <si>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</si>
  <si>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</si>
  <si>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</si>
  <si>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</si>
  <si>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</si>
  <si>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</si>
  <si>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</si>
  <si>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</si>
  <si>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</si>
  <si>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</si>
  <si>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</si>
  <si>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</si>
  <si>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</si>
  <si>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</si>
  <si>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</si>
  <si>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</si>
  <si>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</si>
  <si>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</si>
  <si>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</si>
  <si>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</si>
  <si>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</si>
  <si>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</si>
  <si>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</si>
  <si>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</si>
  <si>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</si>
  <si>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</si>
  <si>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</si>
  <si>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</si>
  <si>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</si>
  <si>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</si>
  <si>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</si>
  <si>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</si>
  <si>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</si>
  <si>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</si>
  <si>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</si>
  <si>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</si>
  <si>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</si>
  <si>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</si>
  <si>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</si>
  <si>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</si>
  <si>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</si>
  <si>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</si>
  <si>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</si>
  <si>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</si>
  <si>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</si>
  <si>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</si>
  <si>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</si>
  <si>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</si>
  <si>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</si>
  <si>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</si>
  <si>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</si>
  <si>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</si>
  <si>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</si>
  <si>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</si>
  <si>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</si>
  <si>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</si>
  <si>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</si>
  <si>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</si>
  <si>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</si>
  <si>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</si>
  <si>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</si>
  <si>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</si>
  <si>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</si>
  <si>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</si>
  <si>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</si>
  <si>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</si>
  <si>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</si>
  <si>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</si>
  <si>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</si>
  <si>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</si>
  <si>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</si>
  <si>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</si>
  <si>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</si>
  <si>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</si>
  <si>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</si>
  <si>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</si>
  <si>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</si>
  <si>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</si>
  <si>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</si>
  <si>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</si>
  <si>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</si>
  <si>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</si>
  <si>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</si>
  <si>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</si>
  <si>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</si>
  <si>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</si>
  <si>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</si>
  <si>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</si>
  <si>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</si>
  <si>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</si>
  <si>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</si>
  <si>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</si>
  <si>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</si>
  <si>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</si>
  <si>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</si>
  <si>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</si>
  <si>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</si>
  <si>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</si>
  <si>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</si>
  <si>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</si>
  <si>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</si>
  <si>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</si>
  <si>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</si>
  <si>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</si>
  <si>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</si>
  <si>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</si>
  <si>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</si>
  <si>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</si>
  <si>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07/95</t>
  </si>
  <si>
    <t>08/14</t>
  </si>
  <si>
    <t xml:space="preserve">Hollis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</si>
</sst>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5" zoomScaleNormal="85" workbookViewId="0">
      <pane xSplit="5" ySplit="3" topLeftCell="F484" activePane="bottomRight" state="frozen"/>
      <selection pane="topRight" activeCell="F1" sqref="F1"/>
      <selection pane="bottomLeft" activeCell="A4" sqref="A4"/>
      <selection pane="bottomRight" activeCell="G497" sqref="G4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259</v>
      </c>
      <c r="C2" s="21">
        <v>259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379598.09+450</f>
        <v>380048.09</v>
      </c>
      <c r="G9" s="18">
        <f>22609.01+48</f>
        <v>22657.01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468.79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708720.99</v>
      </c>
      <c r="G12" s="18">
        <v>460826.32</v>
      </c>
      <c r="H12" s="18"/>
      <c r="I12" s="18"/>
      <c r="J12" s="67">
        <f>SUM(I440)</f>
        <v>217686.31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11648.82</v>
      </c>
      <c r="G13" s="18">
        <v>5284.39</v>
      </c>
      <c r="H13" s="18">
        <v>85957.52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1283.55-1017.06</f>
        <v>266.49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4635.29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10912.11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1112065.2900000003</v>
      </c>
      <c r="G19" s="41">
        <f>SUM(G9:G18)</f>
        <v>493403.01</v>
      </c>
      <c r="H19" s="41">
        <f>SUM(H9:H18)</f>
        <v>85957.52</v>
      </c>
      <c r="I19" s="41">
        <f>SUM(I9:I18)</f>
        <v>0</v>
      </c>
      <c r="J19" s="41">
        <f>SUM(J9:J18)</f>
        <v>217686.31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546972.01</v>
      </c>
      <c r="G22" s="18">
        <v>457985.52</v>
      </c>
      <c r="H22" s="18">
        <v>82682.05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2722.47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114530.44+35103.02</f>
        <v>149633.46</v>
      </c>
      <c r="G24" s="18">
        <v>1142.08</v>
      </c>
      <c r="H24" s="18">
        <v>129.08000000000001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25426.06</v>
      </c>
      <c r="G28" s="18">
        <v>2003.21</v>
      </c>
      <c r="H28" s="18">
        <v>3146.39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1680</v>
      </c>
      <c r="G30" s="18">
        <v>11455.34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726434</v>
      </c>
      <c r="G32" s="41">
        <f>SUM(G22:G31)</f>
        <v>472586.15000000008</v>
      </c>
      <c r="H32" s="41">
        <f>SUM(H22:H31)</f>
        <v>85957.52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4635.29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10912.11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16181.57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8000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217686.31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43011.15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323708.03000000003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385631.29000000004</v>
      </c>
      <c r="G50" s="41">
        <f>SUM(G35:G49)</f>
        <v>20816.86</v>
      </c>
      <c r="H50" s="41">
        <f>SUM(H35:H49)</f>
        <v>0</v>
      </c>
      <c r="I50" s="41">
        <f>SUM(I35:I49)</f>
        <v>0</v>
      </c>
      <c r="J50" s="41">
        <f>SUM(J35:J49)</f>
        <v>217686.31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1112065.29</v>
      </c>
      <c r="G51" s="41">
        <f>G50+G32</f>
        <v>493403.01000000007</v>
      </c>
      <c r="H51" s="41">
        <f>H50+H32</f>
        <v>85957.52</v>
      </c>
      <c r="I51" s="41">
        <f>I50+I32</f>
        <v>0</v>
      </c>
      <c r="J51" s="41">
        <f>J50+J32</f>
        <v>217686.31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7394186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7394186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26922.67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26922.67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5741.26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181152.88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2868.79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16610.05</v>
      </c>
      <c r="G110" s="41">
        <f>SUM(G95:G109)</f>
        <v>181152.88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7437718.7199999997</v>
      </c>
      <c r="G111" s="41">
        <f>G59+G110</f>
        <v>181152.88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926496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1299705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2226201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52795.3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54575.37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2448.0500000000002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107370.67000000001</v>
      </c>
      <c r="G135" s="41">
        <f>SUM(G122:G134)</f>
        <v>2448.0500000000002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2333571.67</v>
      </c>
      <c r="G139" s="41">
        <f>G120+SUM(G135:G136)</f>
        <v>2448.0500000000002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5713.46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2600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24755.71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704.09+166786.48</f>
        <v>167490.57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73271.759999999995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9956.14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73271.759999999995</v>
      </c>
      <c r="G161" s="41">
        <f>SUM(G149:G160)</f>
        <v>34711.85</v>
      </c>
      <c r="H161" s="41">
        <f>SUM(H149:H160)</f>
        <v>175804.03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73271.759999999995</v>
      </c>
      <c r="G168" s="41">
        <f>G146+G161+SUM(G162:G167)</f>
        <v>34711.85</v>
      </c>
      <c r="H168" s="41">
        <f>H146+H161+SUM(H162:H167)</f>
        <v>175804.03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298483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298483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200.62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200.62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200.62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298483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9844762.7699999996</v>
      </c>
      <c r="G192" s="47">
        <f>G111+G139+G168+G191</f>
        <v>218312.78</v>
      </c>
      <c r="H192" s="47">
        <f>H111+H139+H168+H191</f>
        <v>175804.03</v>
      </c>
      <c r="I192" s="47">
        <f>I111+I139+I168+I191</f>
        <v>0</v>
      </c>
      <c r="J192" s="47">
        <f>J111+J139+J191</f>
        <v>298483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2939284.56</v>
      </c>
      <c r="G196" s="18">
        <f>(F196/F$210)*1770695.86</f>
        <v>951511.70185112685</v>
      </c>
      <c r="H196" s="18">
        <f>0+918+18215.27</f>
        <v>19133.27</v>
      </c>
      <c r="I196" s="18">
        <f>87659.5-738.04</f>
        <v>86921.46</v>
      </c>
      <c r="J196" s="18">
        <v>93612.71</v>
      </c>
      <c r="K196" s="18">
        <v>1096.5</v>
      </c>
      <c r="L196" s="19">
        <f>SUM(F196:K196)</f>
        <v>4091560.2018511267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1042764.41</v>
      </c>
      <c r="G197" s="18">
        <f>(F197/F$210)*1770695.86+545.37</f>
        <v>338111.37224814104</v>
      </c>
      <c r="H197" s="18">
        <f>186026.05</f>
        <v>186026.05</v>
      </c>
      <c r="I197" s="18">
        <v>8076.06</v>
      </c>
      <c r="J197" s="18">
        <v>6390.27</v>
      </c>
      <c r="K197" s="18">
        <v>1420</v>
      </c>
      <c r="L197" s="19">
        <f>SUM(F197:K197)</f>
        <v>1582788.1622481411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534471.23</v>
      </c>
      <c r="G201" s="18">
        <f>(F201/F$210)*1770695.86</f>
        <v>173020.20926063895</v>
      </c>
      <c r="H201" s="18">
        <f>175119.57+0+1911.31-1630.02</f>
        <v>175400.86000000002</v>
      </c>
      <c r="I201" s="18">
        <v>12025.43</v>
      </c>
      <c r="J201" s="18">
        <v>1525.2</v>
      </c>
      <c r="K201" s="18">
        <v>270</v>
      </c>
      <c r="L201" s="19">
        <f t="shared" ref="L201:L207" si="0">SUM(F201:K201)</f>
        <v>896712.92926063889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207185.55</v>
      </c>
      <c r="G202" s="18">
        <f>(F202/F$210)*1770695.86+59828.96-4265.38</f>
        <v>122634.14470893779</v>
      </c>
      <c r="H202" s="18">
        <v>14694.32</v>
      </c>
      <c r="I202" s="18">
        <v>22187.64</v>
      </c>
      <c r="J202" s="18">
        <v>2578.08</v>
      </c>
      <c r="K202" s="18"/>
      <c r="L202" s="19">
        <f t="shared" si="0"/>
        <v>369279.73470893782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415676.71</v>
      </c>
      <c r="I203" s="18">
        <v>6716.45</v>
      </c>
      <c r="J203" s="18"/>
      <c r="K203" s="18"/>
      <c r="L203" s="19">
        <f t="shared" si="0"/>
        <v>422393.16000000003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432037.19</v>
      </c>
      <c r="G204" s="18">
        <f>(F204/F$210)*1770695.86</f>
        <v>139860.03516443426</v>
      </c>
      <c r="H204" s="18">
        <f>36897.81+33859.92+2722.47</f>
        <v>73480.2</v>
      </c>
      <c r="I204" s="18">
        <f>15771.95-7849.19</f>
        <v>7922.7600000000011</v>
      </c>
      <c r="J204" s="18">
        <v>446.64</v>
      </c>
      <c r="K204" s="18">
        <v>2994</v>
      </c>
      <c r="L204" s="19">
        <f t="shared" si="0"/>
        <v>656740.82516443427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1967.26</v>
      </c>
      <c r="L205" s="19">
        <f t="shared" si="0"/>
        <v>1967.26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314057.37</v>
      </c>
      <c r="G206" s="18">
        <f>(F206/F$210)*1770695.86</f>
        <v>101667.34676672102</v>
      </c>
      <c r="H206" s="18">
        <f>279158.15+31489.88-34741.64</f>
        <v>275906.39</v>
      </c>
      <c r="I206" s="18">
        <f>284076.77-12698.99</f>
        <v>271377.78000000003</v>
      </c>
      <c r="J206" s="18">
        <v>6845.55</v>
      </c>
      <c r="K206" s="18"/>
      <c r="L206" s="19">
        <f t="shared" si="0"/>
        <v>969854.43676672108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350102.78</v>
      </c>
      <c r="I207" s="18">
        <v>75174.48</v>
      </c>
      <c r="J207" s="18"/>
      <c r="K207" s="18"/>
      <c r="L207" s="19">
        <f t="shared" si="0"/>
        <v>425277.26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5469800.3100000005</v>
      </c>
      <c r="G210" s="41">
        <f t="shared" si="1"/>
        <v>1826804.8099999998</v>
      </c>
      <c r="H210" s="41">
        <f t="shared" si="1"/>
        <v>1510420.5799999998</v>
      </c>
      <c r="I210" s="41">
        <f t="shared" si="1"/>
        <v>490402.06000000006</v>
      </c>
      <c r="J210" s="41">
        <f t="shared" si="1"/>
        <v>111398.45000000001</v>
      </c>
      <c r="K210" s="41">
        <f t="shared" si="1"/>
        <v>7747.76</v>
      </c>
      <c r="L210" s="41">
        <f t="shared" si="1"/>
        <v>9416573.9699999988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5469800.3100000005</v>
      </c>
      <c r="G256" s="41">
        <f t="shared" si="8"/>
        <v>1826804.8099999998</v>
      </c>
      <c r="H256" s="41">
        <f t="shared" si="8"/>
        <v>1510420.5799999998</v>
      </c>
      <c r="I256" s="41">
        <f t="shared" si="8"/>
        <v>490402.06000000006</v>
      </c>
      <c r="J256" s="41">
        <f t="shared" si="8"/>
        <v>111398.45000000001</v>
      </c>
      <c r="K256" s="41">
        <f t="shared" si="8"/>
        <v>7747.76</v>
      </c>
      <c r="L256" s="41">
        <f t="shared" si="8"/>
        <v>9416573.9699999988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169870.45</v>
      </c>
      <c r="L259" s="19">
        <f>SUM(F259:K259)</f>
        <v>169870.45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204664.55</v>
      </c>
      <c r="L260" s="19">
        <f>SUM(F260:K260)</f>
        <v>204664.55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298483</v>
      </c>
      <c r="L265" s="19">
        <f t="shared" si="9"/>
        <v>298483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673018</v>
      </c>
      <c r="L269" s="41">
        <f t="shared" si="9"/>
        <v>673018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5469800.3100000005</v>
      </c>
      <c r="G270" s="42">
        <f t="shared" si="11"/>
        <v>1826804.8099999998</v>
      </c>
      <c r="H270" s="42">
        <f t="shared" si="11"/>
        <v>1510420.5799999998</v>
      </c>
      <c r="I270" s="42">
        <f t="shared" si="11"/>
        <v>490402.06000000006</v>
      </c>
      <c r="J270" s="42">
        <f t="shared" si="11"/>
        <v>111398.45000000001</v>
      </c>
      <c r="K270" s="42">
        <f t="shared" si="11"/>
        <v>680765.76</v>
      </c>
      <c r="L270" s="42">
        <f t="shared" si="11"/>
        <v>10089591.969999999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1027.32</v>
      </c>
      <c r="G275" s="18">
        <f>F275/F$289*9296.73</f>
        <v>76.817629437845724</v>
      </c>
      <c r="H275" s="18">
        <v>5286.13</v>
      </c>
      <c r="I275" s="18">
        <v>427.33</v>
      </c>
      <c r="J275" s="18"/>
      <c r="K275" s="18"/>
      <c r="L275" s="19">
        <f>SUM(F275:K275)</f>
        <v>6817.5976294378452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123302.43</v>
      </c>
      <c r="G276" s="18">
        <f>F276/F$289*9296.73</f>
        <v>9219.9123705621532</v>
      </c>
      <c r="H276" s="18">
        <f>100+1000+32160</f>
        <v>33260</v>
      </c>
      <c r="I276" s="18">
        <f>293.29+310.8</f>
        <v>604.09</v>
      </c>
      <c r="J276" s="18"/>
      <c r="K276" s="18"/>
      <c r="L276" s="19">
        <f>SUM(F276:K276)</f>
        <v>166386.43237056214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2600</v>
      </c>
      <c r="I281" s="18"/>
      <c r="J281" s="18"/>
      <c r="K281" s="18"/>
      <c r="L281" s="19">
        <f t="shared" si="12"/>
        <v>2600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124329.75</v>
      </c>
      <c r="G289" s="42">
        <f t="shared" si="13"/>
        <v>9296.73</v>
      </c>
      <c r="H289" s="42">
        <f t="shared" si="13"/>
        <v>41146.129999999997</v>
      </c>
      <c r="I289" s="42">
        <f t="shared" si="13"/>
        <v>1031.42</v>
      </c>
      <c r="J289" s="42">
        <f t="shared" si="13"/>
        <v>0</v>
      </c>
      <c r="K289" s="42">
        <f t="shared" si="13"/>
        <v>0</v>
      </c>
      <c r="L289" s="41">
        <f t="shared" si="13"/>
        <v>175804.02999999997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124329.75</v>
      </c>
      <c r="G337" s="41">
        <f t="shared" si="20"/>
        <v>9296.73</v>
      </c>
      <c r="H337" s="41">
        <f t="shared" si="20"/>
        <v>41146.129999999997</v>
      </c>
      <c r="I337" s="41">
        <f t="shared" si="20"/>
        <v>1031.42</v>
      </c>
      <c r="J337" s="41">
        <f t="shared" si="20"/>
        <v>0</v>
      </c>
      <c r="K337" s="41">
        <f t="shared" si="20"/>
        <v>0</v>
      </c>
      <c r="L337" s="41">
        <f t="shared" si="20"/>
        <v>175804.02999999997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124329.75</v>
      </c>
      <c r="G351" s="41">
        <f>G337</f>
        <v>9296.73</v>
      </c>
      <c r="H351" s="41">
        <f>H337</f>
        <v>41146.129999999997</v>
      </c>
      <c r="I351" s="41">
        <f>I337</f>
        <v>1031.42</v>
      </c>
      <c r="J351" s="41">
        <f>J337</f>
        <v>0</v>
      </c>
      <c r="K351" s="47">
        <f>K337+K350</f>
        <v>0</v>
      </c>
      <c r="L351" s="41">
        <f>L337+L350</f>
        <v>175804.02999999997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16218+44032.37+56068.26</f>
        <v>116318.63</v>
      </c>
      <c r="G357" s="18"/>
      <c r="H357" s="18">
        <f>134+497.5</f>
        <v>631.5</v>
      </c>
      <c r="I357" s="18">
        <f>92871.31+13080.1</f>
        <v>105951.41</v>
      </c>
      <c r="J357" s="18">
        <f>3550.67+1185.25</f>
        <v>4735.92</v>
      </c>
      <c r="K357" s="18"/>
      <c r="L357" s="13">
        <f>SUM(F357:K357)</f>
        <v>227637.46000000002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116318.63</v>
      </c>
      <c r="G361" s="47">
        <f t="shared" si="22"/>
        <v>0</v>
      </c>
      <c r="H361" s="47">
        <f t="shared" si="22"/>
        <v>631.5</v>
      </c>
      <c r="I361" s="47">
        <f t="shared" si="22"/>
        <v>105951.41</v>
      </c>
      <c r="J361" s="47">
        <f t="shared" si="22"/>
        <v>4735.92</v>
      </c>
      <c r="K361" s="47">
        <f t="shared" si="22"/>
        <v>0</v>
      </c>
      <c r="L361" s="47">
        <f t="shared" si="22"/>
        <v>227637.46000000002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85199.53+13080.1</f>
        <v>98279.63</v>
      </c>
      <c r="G366" s="18"/>
      <c r="H366" s="18"/>
      <c r="I366" s="56">
        <f>SUM(F366:H366)</f>
        <v>98279.63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7671.78</v>
      </c>
      <c r="G367" s="63"/>
      <c r="H367" s="63"/>
      <c r="I367" s="56">
        <f>SUM(F367:H367)</f>
        <v>7671.78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105951.41</v>
      </c>
      <c r="G368" s="47">
        <f>SUM(G366:G367)</f>
        <v>0</v>
      </c>
      <c r="H368" s="47">
        <f>SUM(H366:H367)</f>
        <v>0</v>
      </c>
      <c r="I368" s="47">
        <f>SUM(I366:I367)</f>
        <v>105951.41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298483</v>
      </c>
      <c r="H388" s="18"/>
      <c r="I388" s="18"/>
      <c r="J388" s="24" t="s">
        <v>289</v>
      </c>
      <c r="K388" s="24" t="s">
        <v>289</v>
      </c>
      <c r="L388" s="56">
        <f t="shared" si="25"/>
        <v>298483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298483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298483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298483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298483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288920.5</v>
      </c>
      <c r="I414" s="18"/>
      <c r="J414" s="18"/>
      <c r="K414" s="18"/>
      <c r="L414" s="56">
        <f t="shared" si="27"/>
        <v>288920.5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288920.5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288920.5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288920.5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288920.5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217686.31</v>
      </c>
      <c r="H440" s="18"/>
      <c r="I440" s="56">
        <f t="shared" si="33"/>
        <v>217686.31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217686.31</v>
      </c>
      <c r="H445" s="13">
        <f>SUM(H438:H444)</f>
        <v>0</v>
      </c>
      <c r="I445" s="13">
        <f>SUM(I438:I444)</f>
        <v>217686.31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217686.31</v>
      </c>
      <c r="H458" s="18"/>
      <c r="I458" s="56">
        <f t="shared" si="34"/>
        <v>217686.31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217686.31</v>
      </c>
      <c r="H459" s="83">
        <f>SUM(H453:H458)</f>
        <v>0</v>
      </c>
      <c r="I459" s="83">
        <f>SUM(I453:I458)</f>
        <v>217686.31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217686.31</v>
      </c>
      <c r="H460" s="42">
        <f>H451+H459</f>
        <v>0</v>
      </c>
      <c r="I460" s="42">
        <f>I451+I459</f>
        <v>217686.31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630460.49</v>
      </c>
      <c r="G464" s="18">
        <f>25506.25+4635.29</f>
        <v>30141.54</v>
      </c>
      <c r="H464" s="18"/>
      <c r="I464" s="18"/>
      <c r="J464" s="18">
        <v>208123.81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9844762.7699999996</v>
      </c>
      <c r="G467" s="18">
        <f t="shared" ref="G467:H467" si="35">G192</f>
        <v>218312.78</v>
      </c>
      <c r="H467" s="18">
        <f t="shared" si="35"/>
        <v>175804.03</v>
      </c>
      <c r="I467" s="18"/>
      <c r="J467" s="18">
        <v>298483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9844762.7699999996</v>
      </c>
      <c r="G469" s="53">
        <f>SUM(G467:G468)</f>
        <v>218312.78</v>
      </c>
      <c r="H469" s="53">
        <f>SUM(H467:H468)</f>
        <v>175804.03</v>
      </c>
      <c r="I469" s="53">
        <f>SUM(I467:I468)</f>
        <v>0</v>
      </c>
      <c r="J469" s="53">
        <f>SUM(J467:J468)</f>
        <v>298483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10089591.969999999</v>
      </c>
      <c r="G471" s="18">
        <f>L361</f>
        <v>227637.46000000002</v>
      </c>
      <c r="H471" s="18">
        <f>L351</f>
        <v>175804.02999999997</v>
      </c>
      <c r="I471" s="18"/>
      <c r="J471" s="18">
        <f>L433</f>
        <v>288920.5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10089591.969999999</v>
      </c>
      <c r="G473" s="53">
        <f>SUM(G471:G472)</f>
        <v>227637.46000000002</v>
      </c>
      <c r="H473" s="53">
        <f>SUM(H471:H472)</f>
        <v>175804.02999999997</v>
      </c>
      <c r="I473" s="53">
        <f>SUM(I471:I472)</f>
        <v>0</v>
      </c>
      <c r="J473" s="53">
        <f>SUM(J471:J472)</f>
        <v>288920.5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385631.29000000097</v>
      </c>
      <c r="G475" s="53">
        <f>(G464+G469)- G473</f>
        <v>20816.859999999986</v>
      </c>
      <c r="H475" s="53">
        <f>(H464+H469)- H473</f>
        <v>0</v>
      </c>
      <c r="I475" s="53">
        <f>(I464+I469)- I473</f>
        <v>0</v>
      </c>
      <c r="J475" s="53">
        <f>(J464+J469)- J473</f>
        <v>217686.31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5"/>
      <c r="I490" s="155"/>
      <c r="J490" s="155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5"/>
      <c r="I491" s="155"/>
      <c r="J491" s="155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1960000</v>
      </c>
      <c r="G492" s="18">
        <v>2937516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5.82</v>
      </c>
      <c r="G493" s="18">
        <v>4.25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285000</v>
      </c>
      <c r="G494" s="18"/>
      <c r="H494" s="18"/>
      <c r="I494" s="18"/>
      <c r="J494" s="18"/>
      <c r="K494" s="53">
        <f>SUM(F494:J494)</f>
        <v>285000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95000</v>
      </c>
      <c r="G496" s="18">
        <v>74870</v>
      </c>
      <c r="H496" s="18"/>
      <c r="I496" s="18"/>
      <c r="J496" s="18"/>
      <c r="K496" s="53">
        <f t="shared" si="36"/>
        <v>169870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190000</v>
      </c>
      <c r="G497" s="204">
        <f>69793.05+65057.5</f>
        <v>134850.54999999999</v>
      </c>
      <c r="H497" s="204"/>
      <c r="I497" s="204"/>
      <c r="J497" s="204"/>
      <c r="K497" s="205">
        <f t="shared" si="36"/>
        <v>324850.55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5818.75+2909.38+2909.38</f>
        <v>11637.510000000002</v>
      </c>
      <c r="G498" s="18">
        <f>195206.95+199942.5</f>
        <v>395149.45</v>
      </c>
      <c r="H498" s="18"/>
      <c r="I498" s="18"/>
      <c r="J498" s="18"/>
      <c r="K498" s="53">
        <f t="shared" si="36"/>
        <v>406786.96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201637.51</v>
      </c>
      <c r="G499" s="42">
        <f>SUM(G497:G498)</f>
        <v>530000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731637.51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95000</v>
      </c>
      <c r="G500" s="204">
        <v>69793.05</v>
      </c>
      <c r="H500" s="204"/>
      <c r="I500" s="204"/>
      <c r="J500" s="204"/>
      <c r="K500" s="205">
        <f t="shared" si="36"/>
        <v>164793.04999999999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8728.1299999999992</v>
      </c>
      <c r="G501" s="18">
        <v>195206.95</v>
      </c>
      <c r="H501" s="18"/>
      <c r="I501" s="18"/>
      <c r="J501" s="18"/>
      <c r="K501" s="53">
        <f t="shared" si="36"/>
        <v>203935.08000000002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103728.13</v>
      </c>
      <c r="G502" s="42">
        <f>SUM(G500:G501)</f>
        <v>265000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368728.13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902561.85+69403.68+123302.43</f>
        <v>1095267.96</v>
      </c>
      <c r="G520" s="18">
        <f>F520/F$210*G$210</f>
        <v>365797.77398983092</v>
      </c>
      <c r="H520" s="18">
        <f>186026.05+33383.09</f>
        <v>219409.13999999998</v>
      </c>
      <c r="I520" s="18">
        <f>5852.67+1484.69+643.2+604.09</f>
        <v>8584.65</v>
      </c>
      <c r="J520" s="18">
        <f>5660.27+700</f>
        <v>6360.27</v>
      </c>
      <c r="K520" s="18">
        <v>1420</v>
      </c>
      <c r="L520" s="88">
        <f>SUM(F520:K520)</f>
        <v>1696839.7939898307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1095267.96</v>
      </c>
      <c r="G523" s="108">
        <f t="shared" ref="G523:L523" si="37">SUM(G520:G522)</f>
        <v>365797.77398983092</v>
      </c>
      <c r="H523" s="108">
        <f t="shared" si="37"/>
        <v>219409.13999999998</v>
      </c>
      <c r="I523" s="108">
        <f t="shared" si="37"/>
        <v>8584.65</v>
      </c>
      <c r="J523" s="108">
        <f t="shared" si="37"/>
        <v>6360.27</v>
      </c>
      <c r="K523" s="108">
        <f t="shared" si="37"/>
        <v>1420</v>
      </c>
      <c r="L523" s="89">
        <f t="shared" si="37"/>
        <v>1696839.7939898307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28360.64+233058.87</f>
        <v>261419.51</v>
      </c>
      <c r="G525" s="18">
        <f>F525/F$210*G$210</f>
        <v>87308.931081588787</v>
      </c>
      <c r="H525" s="18">
        <v>161224.87</v>
      </c>
      <c r="I525" s="18">
        <f>95.5+1068.06</f>
        <v>1163.56</v>
      </c>
      <c r="J525" s="18"/>
      <c r="K525" s="18"/>
      <c r="L525" s="88">
        <f>SUM(F525:K525)</f>
        <v>511116.87108158879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261419.51</v>
      </c>
      <c r="G528" s="89">
        <f t="shared" ref="G528:L528" si="38">SUM(G525:G527)</f>
        <v>87308.931081588787</v>
      </c>
      <c r="H528" s="89">
        <f t="shared" si="38"/>
        <v>161224.87</v>
      </c>
      <c r="I528" s="89">
        <f t="shared" si="38"/>
        <v>1163.56</v>
      </c>
      <c r="J528" s="89">
        <f t="shared" si="38"/>
        <v>0</v>
      </c>
      <c r="K528" s="89">
        <f t="shared" si="38"/>
        <v>0</v>
      </c>
      <c r="L528" s="89">
        <f t="shared" si="38"/>
        <v>511116.87108158879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42438.24+24354</f>
        <v>66792.239999999991</v>
      </c>
      <c r="G530" s="18">
        <f>F530/F$210*G$210</f>
        <v>22307.283335298645</v>
      </c>
      <c r="H530" s="18">
        <v>6498.28</v>
      </c>
      <c r="I530" s="18"/>
      <c r="J530" s="18"/>
      <c r="K530" s="18"/>
      <c r="L530" s="88">
        <f>SUM(F530:K530)</f>
        <v>95597.803335298639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66792.239999999991</v>
      </c>
      <c r="G533" s="89">
        <f t="shared" ref="G533:L533" si="39">SUM(G530:G532)</f>
        <v>22307.283335298645</v>
      </c>
      <c r="H533" s="89">
        <f t="shared" si="39"/>
        <v>6498.28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95597.803335298639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127787.69</v>
      </c>
      <c r="I540" s="18"/>
      <c r="J540" s="18"/>
      <c r="K540" s="18"/>
      <c r="L540" s="88">
        <f>SUM(F540:K540)</f>
        <v>127787.69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127787.69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127787.69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1423479.71</v>
      </c>
      <c r="G544" s="89">
        <f t="shared" ref="G544:L544" si="42">G523+G528+G533+G538+G543</f>
        <v>475413.98840671836</v>
      </c>
      <c r="H544" s="89">
        <f t="shared" si="42"/>
        <v>514919.98000000004</v>
      </c>
      <c r="I544" s="89">
        <f t="shared" si="42"/>
        <v>9748.2099999999991</v>
      </c>
      <c r="J544" s="89">
        <f t="shared" si="42"/>
        <v>6360.27</v>
      </c>
      <c r="K544" s="89">
        <f t="shared" si="42"/>
        <v>1420</v>
      </c>
      <c r="L544" s="89">
        <f t="shared" si="42"/>
        <v>2431342.1584067182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1696839.7939898307</v>
      </c>
      <c r="G548" s="87">
        <f>L525</f>
        <v>511116.87108158879</v>
      </c>
      <c r="H548" s="87">
        <f>L530</f>
        <v>95597.803335298639</v>
      </c>
      <c r="I548" s="87">
        <f>L535</f>
        <v>0</v>
      </c>
      <c r="J548" s="87">
        <f>L540</f>
        <v>127787.69</v>
      </c>
      <c r="K548" s="87">
        <f>SUM(F548:J548)</f>
        <v>2431342.1584067182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1696839.7939898307</v>
      </c>
      <c r="G551" s="89">
        <f t="shared" si="43"/>
        <v>511116.87108158879</v>
      </c>
      <c r="H551" s="89">
        <f t="shared" si="43"/>
        <v>95597.803335298639</v>
      </c>
      <c r="I551" s="89">
        <f t="shared" si="43"/>
        <v>0</v>
      </c>
      <c r="J551" s="89">
        <f t="shared" si="43"/>
        <v>127787.69</v>
      </c>
      <c r="K551" s="89">
        <f t="shared" si="43"/>
        <v>2431342.1584067182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185344.01</v>
      </c>
      <c r="G581" s="18"/>
      <c r="H581" s="18"/>
      <c r="I581" s="87">
        <f t="shared" si="48"/>
        <v>185344.01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148261.36*2-1562.59</f>
        <v>294960.12999999995</v>
      </c>
      <c r="I590" s="18"/>
      <c r="J590" s="18"/>
      <c r="K590" s="104">
        <f t="shared" ref="K590:K596" si="49">SUM(H590:J590)</f>
        <v>294960.12999999995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127787.69</v>
      </c>
      <c r="I591" s="18"/>
      <c r="J591" s="18"/>
      <c r="K591" s="104">
        <f t="shared" si="49"/>
        <v>127787.69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609.59+1919.85</f>
        <v>2529.44</v>
      </c>
      <c r="I594" s="18"/>
      <c r="J594" s="18"/>
      <c r="K594" s="104">
        <f t="shared" si="49"/>
        <v>2529.44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425277.25999999995</v>
      </c>
      <c r="I597" s="108">
        <f>SUM(I590:I596)</f>
        <v>0</v>
      </c>
      <c r="J597" s="108">
        <f>SUM(J590:J596)</f>
        <v>0</v>
      </c>
      <c r="K597" s="108">
        <f>SUM(K590:K596)</f>
        <v>425277.25999999995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111398.45</v>
      </c>
      <c r="I603" s="18"/>
      <c r="J603" s="18"/>
      <c r="K603" s="104">
        <f>SUM(H603:J603)</f>
        <v>111398.45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111398.45</v>
      </c>
      <c r="I604" s="108">
        <f>SUM(I601:I603)</f>
        <v>0</v>
      </c>
      <c r="J604" s="108">
        <f>SUM(J601:J603)</f>
        <v>0</v>
      </c>
      <c r="K604" s="108">
        <f>SUM(K601:K603)</f>
        <v>111398.45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1112065.2900000003</v>
      </c>
      <c r="H616" s="109">
        <f>SUM(F51)</f>
        <v>1112065.29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493403.01</v>
      </c>
      <c r="H617" s="109">
        <f>SUM(G51)</f>
        <v>493403.01000000007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85957.52</v>
      </c>
      <c r="H618" s="109">
        <f>SUM(H51)</f>
        <v>85957.52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217686.31</v>
      </c>
      <c r="H620" s="109">
        <f>SUM(J51)</f>
        <v>217686.31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385631.29000000004</v>
      </c>
      <c r="H621" s="109">
        <f>F475</f>
        <v>385631.29000000097</v>
      </c>
      <c r="I621" s="121" t="s">
        <v>101</v>
      </c>
      <c r="J621" s="109">
        <f t="shared" ref="J621:J654" si="51">G621-H621</f>
        <v>-9.3132257461547852E-10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20816.86</v>
      </c>
      <c r="H622" s="109">
        <f>G475</f>
        <v>20816.859999999986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217686.31</v>
      </c>
      <c r="H625" s="109">
        <f>J475</f>
        <v>217686.31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9844762.7699999996</v>
      </c>
      <c r="H626" s="104">
        <f>SUM(F467)</f>
        <v>9844762.7699999996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218312.78</v>
      </c>
      <c r="H627" s="104">
        <f>SUM(G467)</f>
        <v>218312.78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175804.03</v>
      </c>
      <c r="H628" s="104">
        <f>SUM(H467)</f>
        <v>175804.03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298483</v>
      </c>
      <c r="H630" s="104">
        <f>SUM(J467)</f>
        <v>298483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10089591.969999999</v>
      </c>
      <c r="H631" s="104">
        <f>SUM(F471)</f>
        <v>10089591.969999999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175804.02999999997</v>
      </c>
      <c r="H632" s="104">
        <f>SUM(H471)</f>
        <v>175804.02999999997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105951.41</v>
      </c>
      <c r="H633" s="104">
        <f>I368</f>
        <v>105951.41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227637.46000000002</v>
      </c>
      <c r="H634" s="104">
        <f>SUM(G471)</f>
        <v>227637.46000000002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298483</v>
      </c>
      <c r="H636" s="164">
        <f>SUM(J467)</f>
        <v>298483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288920.5</v>
      </c>
      <c r="H637" s="164">
        <f>SUM(J471)</f>
        <v>288920.5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217686.31</v>
      </c>
      <c r="H639" s="104">
        <f>SUM(G460)</f>
        <v>217686.31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217686.31</v>
      </c>
      <c r="H641" s="104">
        <f>SUM(I460)</f>
        <v>217686.31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298483</v>
      </c>
      <c r="H644" s="104">
        <f>G407</f>
        <v>298483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298483</v>
      </c>
      <c r="H645" s="104">
        <f>L407</f>
        <v>298483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425277.25999999995</v>
      </c>
      <c r="H646" s="104">
        <f>L207+L225+L243</f>
        <v>425277.26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111398.45</v>
      </c>
      <c r="H647" s="104">
        <f>(J256+J337)-(J254+J335)</f>
        <v>111398.45000000001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425277.26</v>
      </c>
      <c r="H648" s="104">
        <f>H597</f>
        <v>425277.25999999995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298483</v>
      </c>
      <c r="H654" s="104">
        <f>K265+K346</f>
        <v>298483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9820015.459999999</v>
      </c>
      <c r="G659" s="19">
        <f>(L228+L308+L358)</f>
        <v>0</v>
      </c>
      <c r="H659" s="19">
        <f>(L246+L327+L359)</f>
        <v>0</v>
      </c>
      <c r="I659" s="19">
        <f>SUM(F659:H659)</f>
        <v>9820015.459999999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181152.88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181152.88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425277.26</v>
      </c>
      <c r="G661" s="19">
        <f>(L225+L305)-(J225+J305)</f>
        <v>0</v>
      </c>
      <c r="H661" s="19">
        <f>(L243+L324)-(J243+J324)</f>
        <v>0</v>
      </c>
      <c r="I661" s="19">
        <f>SUM(F661:H661)</f>
        <v>425277.26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296742.46000000002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296742.46000000002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8916842.8599999994</v>
      </c>
      <c r="G663" s="19">
        <f>G659-SUM(G660:G662)</f>
        <v>0</v>
      </c>
      <c r="H663" s="19">
        <f>H659-SUM(H660:H662)</f>
        <v>0</v>
      </c>
      <c r="I663" s="19">
        <f>I659-SUM(I660:I662)</f>
        <v>8916842.8599999994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592.35</v>
      </c>
      <c r="G664" s="248"/>
      <c r="H664" s="248"/>
      <c r="I664" s="19">
        <f>SUM(F664:H664)</f>
        <v>592.35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15053.33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15053.33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15053.33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15053.33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15" sqref="E1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Hollis 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2940311.88</v>
      </c>
      <c r="C9" s="229">
        <f>'DOE25'!G196+'DOE25'!G214+'DOE25'!G232+'DOE25'!G275+'DOE25'!G294+'DOE25'!G313</f>
        <v>951588.51948056475</v>
      </c>
    </row>
    <row r="10" spans="1:3" x14ac:dyDescent="0.2">
      <c r="A10" t="s">
        <v>779</v>
      </c>
      <c r="B10" s="240">
        <v>2710597.81</v>
      </c>
      <c r="C10" s="240">
        <f>B10/B$13*C$9</f>
        <v>877244.95298272965</v>
      </c>
    </row>
    <row r="11" spans="1:3" x14ac:dyDescent="0.2">
      <c r="A11" t="s">
        <v>780</v>
      </c>
      <c r="B11" s="240">
        <v>77143.259999999995</v>
      </c>
      <c r="C11" s="240">
        <f>B11/B$13*C$9</f>
        <v>24966.276900974284</v>
      </c>
    </row>
    <row r="12" spans="1:3" x14ac:dyDescent="0.2">
      <c r="A12" t="s">
        <v>781</v>
      </c>
      <c r="B12" s="240">
        <v>152570.81</v>
      </c>
      <c r="C12" s="240">
        <f>B12/B$13*C$9</f>
        <v>49377.289596860915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2940311.88</v>
      </c>
      <c r="C13" s="231">
        <f>SUM(C10:C12)</f>
        <v>951588.51948056486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1166066.8400000001</v>
      </c>
      <c r="C18" s="229">
        <f>'DOE25'!G197+'DOE25'!G215+'DOE25'!G233+'DOE25'!G276+'DOE25'!G295+'DOE25'!G314</f>
        <v>347331.28461870318</v>
      </c>
    </row>
    <row r="19" spans="1:3" x14ac:dyDescent="0.2">
      <c r="A19" t="s">
        <v>779</v>
      </c>
      <c r="B19" s="240">
        <v>582393.38</v>
      </c>
      <c r="C19" s="240">
        <f>B19/B$22*C$18</f>
        <v>173474.99636369781</v>
      </c>
    </row>
    <row r="20" spans="1:3" x14ac:dyDescent="0.2">
      <c r="A20" t="s">
        <v>780</v>
      </c>
      <c r="B20" s="240">
        <v>583673.46</v>
      </c>
      <c r="C20" s="240">
        <f>B20/B$22*C$18</f>
        <v>173856.28825500541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1166066.8399999999</v>
      </c>
      <c r="C22" s="231">
        <f>SUM(C19:C21)</f>
        <v>347331.28461870318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 xml:space="preserve">Hollis 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5674348.3640992679</v>
      </c>
      <c r="D5" s="20">
        <f>SUM('DOE25'!L196:L199)+SUM('DOE25'!L214:L217)+SUM('DOE25'!L232:L235)-F5-G5</f>
        <v>5571828.8840992674</v>
      </c>
      <c r="E5" s="243"/>
      <c r="F5" s="255">
        <f>SUM('DOE25'!J196:J199)+SUM('DOE25'!J214:J217)+SUM('DOE25'!J232:J235)</f>
        <v>100002.98000000001</v>
      </c>
      <c r="G5" s="53">
        <f>SUM('DOE25'!K196:K199)+SUM('DOE25'!K214:K217)+SUM('DOE25'!K232:K235)</f>
        <v>2516.5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896712.92926063889</v>
      </c>
      <c r="D6" s="20">
        <f>'DOE25'!L201+'DOE25'!L219+'DOE25'!L237-F6-G6</f>
        <v>894917.72926063894</v>
      </c>
      <c r="E6" s="243"/>
      <c r="F6" s="255">
        <f>'DOE25'!J201+'DOE25'!J219+'DOE25'!J237</f>
        <v>1525.2</v>
      </c>
      <c r="G6" s="53">
        <f>'DOE25'!K201+'DOE25'!K219+'DOE25'!K237</f>
        <v>270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369279.73470893782</v>
      </c>
      <c r="D7" s="20">
        <f>'DOE25'!L202+'DOE25'!L220+'DOE25'!L238-F7-G7</f>
        <v>366701.6547089378</v>
      </c>
      <c r="E7" s="243"/>
      <c r="F7" s="255">
        <f>'DOE25'!J202+'DOE25'!J220+'DOE25'!J238</f>
        <v>2578.08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277179.39</v>
      </c>
      <c r="D8" s="243"/>
      <c r="E8" s="20">
        <f>'DOE25'!L203+'DOE25'!L221+'DOE25'!L239-F8-G8-D9-D11</f>
        <v>277179.39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42353.2</v>
      </c>
      <c r="D9" s="244">
        <f>50953.2-8600</f>
        <v>42353.2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8600</v>
      </c>
      <c r="D10" s="243"/>
      <c r="E10" s="244">
        <v>8600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102860.57</v>
      </c>
      <c r="D11" s="244">
        <v>102860.57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656740.82516443427</v>
      </c>
      <c r="D12" s="20">
        <f>'DOE25'!L204+'DOE25'!L222+'DOE25'!L240-F12-G12</f>
        <v>653300.18516443425</v>
      </c>
      <c r="E12" s="243"/>
      <c r="F12" s="255">
        <f>'DOE25'!J204+'DOE25'!J222+'DOE25'!J240</f>
        <v>446.64</v>
      </c>
      <c r="G12" s="53">
        <f>'DOE25'!K204+'DOE25'!K222+'DOE25'!K240</f>
        <v>2994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1967.26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1967.26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969854.43676672108</v>
      </c>
      <c r="D14" s="20">
        <f>'DOE25'!L206+'DOE25'!L224+'DOE25'!L242-F14-G14</f>
        <v>963008.88676672103</v>
      </c>
      <c r="E14" s="243"/>
      <c r="F14" s="255">
        <f>'DOE25'!J206+'DOE25'!J224+'DOE25'!J242</f>
        <v>6845.55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425277.26</v>
      </c>
      <c r="D15" s="20">
        <f>'DOE25'!L207+'DOE25'!L225+'DOE25'!L243-F15-G15</f>
        <v>425277.26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374535</v>
      </c>
      <c r="D25" s="243"/>
      <c r="E25" s="243"/>
      <c r="F25" s="258"/>
      <c r="G25" s="256"/>
      <c r="H25" s="257">
        <f>'DOE25'!L259+'DOE25'!L260+'DOE25'!L340+'DOE25'!L341</f>
        <v>374535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129357.83000000002</v>
      </c>
      <c r="D29" s="20">
        <f>'DOE25'!L357+'DOE25'!L358+'DOE25'!L359-'DOE25'!I366-F29-G29</f>
        <v>124621.91000000002</v>
      </c>
      <c r="E29" s="243"/>
      <c r="F29" s="255">
        <f>'DOE25'!J357+'DOE25'!J358+'DOE25'!J359</f>
        <v>4735.92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175804.02999999997</v>
      </c>
      <c r="D31" s="20">
        <f>'DOE25'!L289+'DOE25'!L308+'DOE25'!L327+'DOE25'!L332+'DOE25'!L333+'DOE25'!L334-F31-G31</f>
        <v>175804.02999999997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9320674.3099999987</v>
      </c>
      <c r="E33" s="246">
        <f>SUM(E5:E31)</f>
        <v>285779.39</v>
      </c>
      <c r="F33" s="246">
        <f>SUM(F5:F31)</f>
        <v>116134.37000000001</v>
      </c>
      <c r="G33" s="246">
        <f>SUM(G5:G31)</f>
        <v>7747.76</v>
      </c>
      <c r="H33" s="246">
        <f>SUM(H5:H31)</f>
        <v>374535</v>
      </c>
    </row>
    <row r="35" spans="2:8" ht="12" thickBot="1" x14ac:dyDescent="0.25">
      <c r="B35" s="253" t="s">
        <v>847</v>
      </c>
      <c r="D35" s="254">
        <f>E33</f>
        <v>285779.39</v>
      </c>
      <c r="E35" s="249"/>
    </row>
    <row r="36" spans="2:8" ht="12" thickTop="1" x14ac:dyDescent="0.2">
      <c r="B36" t="s">
        <v>815</v>
      </c>
      <c r="D36" s="20">
        <f>D33</f>
        <v>9320674.3099999987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48" sqref="C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Hollis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380048.09</v>
      </c>
      <c r="D8" s="95">
        <f>'DOE25'!G9</f>
        <v>22657.01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468.79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708720.99</v>
      </c>
      <c r="D11" s="95">
        <f>'DOE25'!G12</f>
        <v>460826.32</v>
      </c>
      <c r="E11" s="95">
        <f>'DOE25'!H12</f>
        <v>0</v>
      </c>
      <c r="F11" s="95">
        <f>'DOE25'!I12</f>
        <v>0</v>
      </c>
      <c r="G11" s="95">
        <f>'DOE25'!J12</f>
        <v>217686.31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11648.82</v>
      </c>
      <c r="D12" s="95">
        <f>'DOE25'!G13</f>
        <v>5284.39</v>
      </c>
      <c r="E12" s="95">
        <f>'DOE25'!H13</f>
        <v>85957.52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266.49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4635.29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10912.11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1112065.2900000003</v>
      </c>
      <c r="D18" s="41">
        <f>SUM(D8:D17)</f>
        <v>493403.01</v>
      </c>
      <c r="E18" s="41">
        <f>SUM(E8:E17)</f>
        <v>85957.52</v>
      </c>
      <c r="F18" s="41">
        <f>SUM(F8:F17)</f>
        <v>0</v>
      </c>
      <c r="G18" s="41">
        <f>SUM(G8:G17)</f>
        <v>217686.31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546972.01</v>
      </c>
      <c r="D21" s="95">
        <f>'DOE25'!G22</f>
        <v>457985.52</v>
      </c>
      <c r="E21" s="95">
        <f>'DOE25'!H22</f>
        <v>82682.05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2722.47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149633.46</v>
      </c>
      <c r="D23" s="95">
        <f>'DOE25'!G24</f>
        <v>1142.08</v>
      </c>
      <c r="E23" s="95">
        <f>'DOE25'!H24</f>
        <v>129.08000000000001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25426.06</v>
      </c>
      <c r="D27" s="95">
        <f>'DOE25'!G28</f>
        <v>2003.21</v>
      </c>
      <c r="E27" s="95">
        <f>'DOE25'!H28</f>
        <v>3146.39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1680</v>
      </c>
      <c r="D29" s="95">
        <f>'DOE25'!G30</f>
        <v>11455.34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726434</v>
      </c>
      <c r="D31" s="41">
        <f>SUM(D21:D30)</f>
        <v>472586.15000000008</v>
      </c>
      <c r="E31" s="41">
        <f>SUM(E21:E30)</f>
        <v>85957.52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4635.29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10912.11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16181.57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8000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217686.31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43011.15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323708.03000000003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385631.29000000004</v>
      </c>
      <c r="D49" s="41">
        <f>SUM(D34:D48)</f>
        <v>20816.86</v>
      </c>
      <c r="E49" s="41">
        <f>SUM(E34:E48)</f>
        <v>0</v>
      </c>
      <c r="F49" s="41">
        <f>SUM(F34:F48)</f>
        <v>0</v>
      </c>
      <c r="G49" s="41">
        <f>SUM(G34:G48)</f>
        <v>217686.31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1112065.29</v>
      </c>
      <c r="D50" s="41">
        <f>D49+D31</f>
        <v>493403.01000000007</v>
      </c>
      <c r="E50" s="41">
        <f>E49+E31</f>
        <v>85957.52</v>
      </c>
      <c r="F50" s="41">
        <f>F49+F31</f>
        <v>0</v>
      </c>
      <c r="G50" s="41">
        <f>G49+G31</f>
        <v>217686.31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7394186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26922.67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5741.26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181152.88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10868.79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43532.72</v>
      </c>
      <c r="D61" s="130">
        <f>SUM(D56:D60)</f>
        <v>181152.88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7437718.7199999997</v>
      </c>
      <c r="D62" s="22">
        <f>D55+D61</f>
        <v>181152.88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926496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1299705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2226201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52795.3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54575.37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2448.0500000000002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107370.67000000001</v>
      </c>
      <c r="D77" s="130">
        <f>SUM(D71:D76)</f>
        <v>2448.0500000000002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2333571.67</v>
      </c>
      <c r="D80" s="130">
        <f>SUM(D78:D79)+D77+D69</f>
        <v>2448.0500000000002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73271.759999999995</v>
      </c>
      <c r="D87" s="95">
        <f>SUM('DOE25'!G152:G160)</f>
        <v>34711.85</v>
      </c>
      <c r="E87" s="95">
        <f>SUM('DOE25'!H152:H160)</f>
        <v>175804.03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73271.759999999995</v>
      </c>
      <c r="D90" s="131">
        <f>SUM(D84:D89)</f>
        <v>34711.85</v>
      </c>
      <c r="E90" s="131">
        <f>SUM(E84:E89)</f>
        <v>175804.03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298483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200.62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200.62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298483</v>
      </c>
    </row>
    <row r="103" spans="1:7" ht="12.75" thickTop="1" thickBot="1" x14ac:dyDescent="0.25">
      <c r="A103" s="33" t="s">
        <v>765</v>
      </c>
      <c r="C103" s="86">
        <f>C62+C80+C90+C102</f>
        <v>9844762.7699999996</v>
      </c>
      <c r="D103" s="86">
        <f>D62+D80+D90+D102</f>
        <v>218312.78</v>
      </c>
      <c r="E103" s="86">
        <f>E62+E80+E90+E102</f>
        <v>175804.03</v>
      </c>
      <c r="F103" s="86">
        <f>F62+F80+F90+F102</f>
        <v>0</v>
      </c>
      <c r="G103" s="86">
        <f>G62+G80+G102</f>
        <v>298483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4091560.2018511267</v>
      </c>
      <c r="D108" s="24" t="s">
        <v>289</v>
      </c>
      <c r="E108" s="95">
        <f>('DOE25'!L275)+('DOE25'!L294)+('DOE25'!L313)</f>
        <v>6817.5976294378452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1582788.1622481411</v>
      </c>
      <c r="D109" s="24" t="s">
        <v>289</v>
      </c>
      <c r="E109" s="95">
        <f>('DOE25'!L276)+('DOE25'!L295)+('DOE25'!L314)</f>
        <v>166386.43237056214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5674348.3640992679</v>
      </c>
      <c r="D114" s="86">
        <f>SUM(D108:D113)</f>
        <v>0</v>
      </c>
      <c r="E114" s="86">
        <f>SUM(E108:E113)</f>
        <v>173204.02999999997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896712.92926063889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369279.73470893782</v>
      </c>
      <c r="D118" s="24" t="s">
        <v>289</v>
      </c>
      <c r="E118" s="95">
        <f>+('DOE25'!L281)+('DOE25'!L300)+('DOE25'!L319)</f>
        <v>2600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422393.16000000003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656740.82516443427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1967.26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969854.43676672108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425277.26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227637.46000000002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3742225.6059007319</v>
      </c>
      <c r="D127" s="86">
        <f>SUM(D117:D126)</f>
        <v>227637.46000000002</v>
      </c>
      <c r="E127" s="86">
        <f>SUM(E117:E126)</f>
        <v>2600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169870.45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204664.55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298483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673018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10089591.969999999</v>
      </c>
      <c r="D144" s="86">
        <f>(D114+D127+D143)</f>
        <v>227637.46000000002</v>
      </c>
      <c r="E144" s="86">
        <f>(E114+E127+E143)</f>
        <v>175804.02999999997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07/95</v>
      </c>
      <c r="C151" s="152" t="str">
        <f>'DOE25'!G490</f>
        <v>07/95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08/14</v>
      </c>
      <c r="C152" s="152" t="str">
        <f>'DOE25'!G491</f>
        <v>08/14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1960000</v>
      </c>
      <c r="C153" s="137">
        <f>'DOE25'!G492</f>
        <v>2937516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5.82</v>
      </c>
      <c r="C154" s="137">
        <f>'DOE25'!G493</f>
        <v>4.25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95000</v>
      </c>
      <c r="C157" s="137">
        <f>'DOE25'!G496</f>
        <v>74870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169870</v>
      </c>
    </row>
    <row r="158" spans="1:9" x14ac:dyDescent="0.2">
      <c r="A158" s="22" t="s">
        <v>35</v>
      </c>
      <c r="B158" s="137">
        <f>'DOE25'!F497</f>
        <v>190000</v>
      </c>
      <c r="C158" s="137">
        <f>'DOE25'!G497</f>
        <v>134850.54999999999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324850.55</v>
      </c>
    </row>
    <row r="159" spans="1:9" x14ac:dyDescent="0.2">
      <c r="A159" s="22" t="s">
        <v>36</v>
      </c>
      <c r="B159" s="137">
        <f>'DOE25'!F498</f>
        <v>11637.510000000002</v>
      </c>
      <c r="C159" s="137">
        <f>'DOE25'!G498</f>
        <v>395149.45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406786.96</v>
      </c>
    </row>
    <row r="160" spans="1:9" x14ac:dyDescent="0.2">
      <c r="A160" s="22" t="s">
        <v>37</v>
      </c>
      <c r="B160" s="137">
        <f>'DOE25'!F499</f>
        <v>201637.51</v>
      </c>
      <c r="C160" s="137">
        <f>'DOE25'!G499</f>
        <v>530000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731637.51</v>
      </c>
    </row>
    <row r="161" spans="1:7" x14ac:dyDescent="0.2">
      <c r="A161" s="22" t="s">
        <v>38</v>
      </c>
      <c r="B161" s="137">
        <f>'DOE25'!F500</f>
        <v>95000</v>
      </c>
      <c r="C161" s="137">
        <f>'DOE25'!G500</f>
        <v>69793.05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164793.04999999999</v>
      </c>
    </row>
    <row r="162" spans="1:7" x14ac:dyDescent="0.2">
      <c r="A162" s="22" t="s">
        <v>39</v>
      </c>
      <c r="B162" s="137">
        <f>'DOE25'!F501</f>
        <v>8728.1299999999992</v>
      </c>
      <c r="C162" s="137">
        <f>'DOE25'!G501</f>
        <v>195206.95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203935.08000000002</v>
      </c>
    </row>
    <row r="163" spans="1:7" x14ac:dyDescent="0.2">
      <c r="A163" s="22" t="s">
        <v>246</v>
      </c>
      <c r="B163" s="137">
        <f>'DOE25'!F502</f>
        <v>103728.13</v>
      </c>
      <c r="C163" s="137">
        <f>'DOE25'!G502</f>
        <v>265000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368728.13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 xml:space="preserve">Hollis 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15053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15053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4098378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1749175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896713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371880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422393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656741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1967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969854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425277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204665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46484.119999999995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9843527.1199999992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9843527.1199999992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169870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7394186</v>
      </c>
      <c r="D35" s="182">
        <f t="shared" ref="D35:D40" si="1">ROUND((C35/$C$41)*100,1)</f>
        <v>73.5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43532.719999999739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2226201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109819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283788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10057526.719999999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 xml:space="preserve">Hollis 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2013-10-01T16:40:25Z</cp:lastPrinted>
  <dcterms:created xsi:type="dcterms:W3CDTF">1997-12-04T19:04:30Z</dcterms:created>
  <dcterms:modified xsi:type="dcterms:W3CDTF">2013-10-29T14:25:39Z</dcterms:modified>
</cp:coreProperties>
</file>