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532" i="1" l="1"/>
  <c r="I532" i="1"/>
  <c r="H532" i="1"/>
  <c r="F532" i="1"/>
  <c r="J531" i="1"/>
  <c r="I531" i="1"/>
  <c r="H531" i="1"/>
  <c r="F531" i="1"/>
  <c r="J530" i="1"/>
  <c r="I530" i="1"/>
  <c r="H530" i="1"/>
  <c r="G530" i="1"/>
  <c r="F530" i="1"/>
  <c r="I525" i="1" l="1"/>
  <c r="H522" i="1"/>
  <c r="G522" i="1"/>
  <c r="F522" i="1"/>
  <c r="I526" i="1"/>
  <c r="G526" i="1"/>
  <c r="F526" i="1"/>
  <c r="H526" i="1"/>
  <c r="I521" i="1"/>
  <c r="G521" i="1"/>
  <c r="F521" i="1"/>
  <c r="J521" i="1"/>
  <c r="H521" i="1"/>
  <c r="G525" i="1"/>
  <c r="F525" i="1"/>
  <c r="H525" i="1"/>
  <c r="J520" i="1"/>
  <c r="I520" i="1"/>
  <c r="G520" i="1"/>
  <c r="F520" i="1"/>
  <c r="K520" i="1"/>
  <c r="H520" i="1"/>
  <c r="H527" i="1"/>
  <c r="G527" i="1"/>
  <c r="F527" i="1"/>
  <c r="G611" i="1"/>
  <c r="G610" i="1"/>
  <c r="F611" i="1"/>
  <c r="F610" i="1"/>
  <c r="I611" i="1"/>
  <c r="H611" i="1"/>
  <c r="H610" i="1"/>
  <c r="G567" i="1"/>
  <c r="F567" i="1"/>
  <c r="I562" i="1"/>
  <c r="G562" i="1"/>
  <c r="F562" i="1"/>
  <c r="J566" i="1"/>
  <c r="I566" i="1"/>
  <c r="G566" i="1"/>
  <c r="F566" i="1"/>
  <c r="J561" i="1"/>
  <c r="I561" i="1"/>
  <c r="G561" i="1"/>
  <c r="F561" i="1"/>
  <c r="H562" i="1"/>
  <c r="H561" i="1"/>
  <c r="F219" i="1"/>
  <c r="J226" i="1"/>
  <c r="J208" i="1"/>
  <c r="H208" i="1"/>
  <c r="I226" i="1"/>
  <c r="I208" i="1"/>
  <c r="H226" i="1"/>
  <c r="G226" i="1"/>
  <c r="G208" i="1"/>
  <c r="F226" i="1"/>
  <c r="F208" i="1"/>
  <c r="H243" i="1"/>
  <c r="H225" i="1"/>
  <c r="H207" i="1"/>
  <c r="I224" i="1"/>
  <c r="I206" i="1"/>
  <c r="H224" i="1"/>
  <c r="H206" i="1"/>
  <c r="G224" i="1"/>
  <c r="G206" i="1"/>
  <c r="F224" i="1"/>
  <c r="F206" i="1"/>
  <c r="H222" i="1"/>
  <c r="H204" i="1"/>
  <c r="H221" i="1"/>
  <c r="H203" i="1"/>
  <c r="K221" i="1"/>
  <c r="K203" i="1"/>
  <c r="J221" i="1"/>
  <c r="J203" i="1"/>
  <c r="I221" i="1"/>
  <c r="I203" i="1"/>
  <c r="G221" i="1"/>
  <c r="G203" i="1"/>
  <c r="F221" i="1"/>
  <c r="F203" i="1"/>
  <c r="G220" i="1"/>
  <c r="G202" i="1"/>
  <c r="F220" i="1"/>
  <c r="F202" i="1"/>
  <c r="H220" i="1"/>
  <c r="H202" i="1"/>
  <c r="K219" i="1"/>
  <c r="K201" i="1"/>
  <c r="H219" i="1"/>
  <c r="H201" i="1"/>
  <c r="G219" i="1"/>
  <c r="G201" i="1"/>
  <c r="F201" i="1"/>
  <c r="J215" i="1"/>
  <c r="J197" i="1"/>
  <c r="I215" i="1"/>
  <c r="I197" i="1"/>
  <c r="H215" i="1"/>
  <c r="H197" i="1"/>
  <c r="G233" i="1"/>
  <c r="G215" i="1"/>
  <c r="G197" i="1"/>
  <c r="F233" i="1"/>
  <c r="F215" i="1"/>
  <c r="F197" i="1"/>
  <c r="K214" i="1"/>
  <c r="K196" i="1"/>
  <c r="G232" i="1"/>
  <c r="G214" i="1"/>
  <c r="G196" i="1"/>
  <c r="F232" i="1"/>
  <c r="F214" i="1"/>
  <c r="F196" i="1"/>
  <c r="H233" i="1"/>
  <c r="H232" i="1"/>
  <c r="J224" i="1"/>
  <c r="K222" i="1"/>
  <c r="J222" i="1"/>
  <c r="I222" i="1"/>
  <c r="G222" i="1"/>
  <c r="F222" i="1"/>
  <c r="K220" i="1"/>
  <c r="J220" i="1"/>
  <c r="I220" i="1"/>
  <c r="I219" i="1"/>
  <c r="J219" i="1"/>
  <c r="I217" i="1"/>
  <c r="G217" i="1"/>
  <c r="F217" i="1"/>
  <c r="K217" i="1"/>
  <c r="J217" i="1"/>
  <c r="H217" i="1"/>
  <c r="J214" i="1"/>
  <c r="I214" i="1"/>
  <c r="H214" i="1"/>
  <c r="J206" i="1"/>
  <c r="K204" i="1"/>
  <c r="J204" i="1"/>
  <c r="I204" i="1"/>
  <c r="G204" i="1"/>
  <c r="F204" i="1"/>
  <c r="K202" i="1"/>
  <c r="J202" i="1"/>
  <c r="I202" i="1"/>
  <c r="I201" i="1"/>
  <c r="J201" i="1"/>
  <c r="G199" i="1"/>
  <c r="F199" i="1"/>
  <c r="J199" i="1"/>
  <c r="I199" i="1"/>
  <c r="H199" i="1"/>
  <c r="K197" i="1"/>
  <c r="J196" i="1"/>
  <c r="I196" i="1"/>
  <c r="H196" i="1"/>
  <c r="J358" i="1"/>
  <c r="H358" i="1"/>
  <c r="G358" i="1"/>
  <c r="F358" i="1"/>
  <c r="J357" i="1"/>
  <c r="H357" i="1"/>
  <c r="G357" i="1"/>
  <c r="F357" i="1"/>
  <c r="K303" i="1"/>
  <c r="K284" i="1"/>
  <c r="J306" i="1"/>
  <c r="I300" i="1"/>
  <c r="I281" i="1"/>
  <c r="F297" i="1"/>
  <c r="J294" i="1"/>
  <c r="I294" i="1"/>
  <c r="J287" i="1"/>
  <c r="I287" i="1"/>
  <c r="I285" i="1"/>
  <c r="H300" i="1"/>
  <c r="H281" i="1"/>
  <c r="G300" i="1"/>
  <c r="G281" i="1"/>
  <c r="F300" i="1"/>
  <c r="F281" i="1"/>
  <c r="I278" i="1"/>
  <c r="H278" i="1"/>
  <c r="G276" i="1"/>
  <c r="F276" i="1"/>
  <c r="I275" i="1"/>
  <c r="H306" i="1"/>
  <c r="H287" i="1"/>
  <c r="I280" i="1"/>
  <c r="H299" i="1"/>
  <c r="H280" i="1"/>
  <c r="G299" i="1"/>
  <c r="G280" i="1"/>
  <c r="H295" i="1"/>
  <c r="H276" i="1"/>
  <c r="J295" i="1" l="1"/>
  <c r="J276" i="1"/>
  <c r="I295" i="1"/>
  <c r="I276" i="1"/>
  <c r="G295" i="1"/>
  <c r="F295" i="1"/>
  <c r="H294" i="1"/>
  <c r="H275" i="1"/>
  <c r="G294" i="1"/>
  <c r="G275" i="1"/>
  <c r="F294" i="1"/>
  <c r="F275" i="1"/>
  <c r="H594" i="1"/>
  <c r="F578" i="1"/>
  <c r="G157" i="1"/>
  <c r="C37" i="10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F660" i="1" s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9" i="10"/>
  <c r="C20" i="10"/>
  <c r="C21" i="10"/>
  <c r="L249" i="1"/>
  <c r="L331" i="1"/>
  <c r="L253" i="1"/>
  <c r="C25" i="10"/>
  <c r="L267" i="1"/>
  <c r="L268" i="1"/>
  <c r="L348" i="1"/>
  <c r="L349" i="1"/>
  <c r="I664" i="1"/>
  <c r="I669" i="1"/>
  <c r="L246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F551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E120" i="2"/>
  <c r="C121" i="2"/>
  <c r="E121" i="2"/>
  <c r="C122" i="2"/>
  <c r="E122" i="2"/>
  <c r="C123" i="2"/>
  <c r="E123" i="2"/>
  <c r="C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50" i="1"/>
  <c r="H50" i="1"/>
  <c r="I50" i="1"/>
  <c r="G624" i="1" s="1"/>
  <c r="F176" i="1"/>
  <c r="I176" i="1"/>
  <c r="F182" i="1"/>
  <c r="G182" i="1"/>
  <c r="H182" i="1"/>
  <c r="I182" i="1"/>
  <c r="J182" i="1"/>
  <c r="J191" i="1" s="1"/>
  <c r="F187" i="1"/>
  <c r="F191" i="1" s="1"/>
  <c r="G187" i="1"/>
  <c r="H187" i="1"/>
  <c r="H191" i="1" s="1"/>
  <c r="I187" i="1"/>
  <c r="F210" i="1"/>
  <c r="G210" i="1"/>
  <c r="H210" i="1"/>
  <c r="I210" i="1"/>
  <c r="J210" i="1"/>
  <c r="K210" i="1"/>
  <c r="F228" i="1"/>
  <c r="H228" i="1"/>
  <c r="I228" i="1"/>
  <c r="I256" i="1" s="1"/>
  <c r="I270" i="1" s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F337" i="1" s="1"/>
  <c r="F351" i="1" s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I368" i="1" s="1"/>
  <c r="H633" i="1" s="1"/>
  <c r="J633" i="1" s="1"/>
  <c r="F368" i="1"/>
  <c r="G368" i="1"/>
  <c r="H368" i="1"/>
  <c r="L380" i="1"/>
  <c r="L381" i="1" s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I407" i="1" s="1"/>
  <c r="F407" i="1"/>
  <c r="L412" i="1"/>
  <c r="L413" i="1"/>
  <c r="L418" i="1" s="1"/>
  <c r="L414" i="1"/>
  <c r="L415" i="1"/>
  <c r="L416" i="1"/>
  <c r="L417" i="1"/>
  <c r="F418" i="1"/>
  <c r="G418" i="1"/>
  <c r="H418" i="1"/>
  <c r="I418" i="1"/>
  <c r="J418" i="1"/>
  <c r="L420" i="1"/>
  <c r="L426" i="1" s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G640" i="1" s="1"/>
  <c r="I445" i="1"/>
  <c r="F451" i="1"/>
  <c r="G451" i="1"/>
  <c r="H451" i="1"/>
  <c r="H460" i="1" s="1"/>
  <c r="H640" i="1" s="1"/>
  <c r="I451" i="1"/>
  <c r="F459" i="1"/>
  <c r="F460" i="1" s="1"/>
  <c r="H638" i="1" s="1"/>
  <c r="G459" i="1"/>
  <c r="H459" i="1"/>
  <c r="I459" i="1"/>
  <c r="I460" i="1" s="1"/>
  <c r="H641" i="1" s="1"/>
  <c r="G460" i="1"/>
  <c r="F469" i="1"/>
  <c r="G469" i="1"/>
  <c r="H469" i="1"/>
  <c r="H475" i="1" s="1"/>
  <c r="H623" i="1" s="1"/>
  <c r="J623" i="1" s="1"/>
  <c r="I469" i="1"/>
  <c r="J469" i="1"/>
  <c r="J475" i="1" s="1"/>
  <c r="H625" i="1" s="1"/>
  <c r="F473" i="1"/>
  <c r="G473" i="1"/>
  <c r="H473" i="1"/>
  <c r="I473" i="1"/>
  <c r="I475" i="1" s="1"/>
  <c r="H624" i="1" s="1"/>
  <c r="J624" i="1" s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K544" i="1" s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J544" i="1" s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I570" i="1" s="1"/>
  <c r="J559" i="1"/>
  <c r="K559" i="1"/>
  <c r="K570" i="1" s="1"/>
  <c r="L561" i="1"/>
  <c r="L562" i="1"/>
  <c r="L564" i="1" s="1"/>
  <c r="L563" i="1"/>
  <c r="F564" i="1"/>
  <c r="G564" i="1"/>
  <c r="H564" i="1"/>
  <c r="H570" i="1" s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4" i="1" s="1"/>
  <c r="G647" i="1" s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1" i="1"/>
  <c r="G622" i="1"/>
  <c r="G623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G639" i="1"/>
  <c r="H639" i="1"/>
  <c r="G641" i="1"/>
  <c r="G642" i="1"/>
  <c r="H642" i="1"/>
  <c r="G643" i="1"/>
  <c r="G644" i="1"/>
  <c r="H646" i="1"/>
  <c r="G648" i="1"/>
  <c r="G649" i="1"/>
  <c r="G650" i="1"/>
  <c r="G651" i="1"/>
  <c r="H651" i="1"/>
  <c r="G652" i="1"/>
  <c r="H652" i="1"/>
  <c r="G653" i="1"/>
  <c r="H653" i="1"/>
  <c r="H654" i="1"/>
  <c r="J654" i="1" s="1"/>
  <c r="L255" i="1"/>
  <c r="G163" i="2"/>
  <c r="G159" i="2"/>
  <c r="C18" i="2"/>
  <c r="F31" i="2"/>
  <c r="C26" i="10"/>
  <c r="L327" i="1"/>
  <c r="H659" i="1" s="1"/>
  <c r="H663" i="1" s="1"/>
  <c r="L350" i="1"/>
  <c r="I661" i="1"/>
  <c r="A31" i="12"/>
  <c r="C69" i="2"/>
  <c r="A40" i="12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C90" i="2"/>
  <c r="G80" i="2"/>
  <c r="F77" i="2"/>
  <c r="F80" i="2" s="1"/>
  <c r="F61" i="2"/>
  <c r="F62" i="2" s="1"/>
  <c r="D31" i="2"/>
  <c r="C77" i="2"/>
  <c r="D49" i="2"/>
  <c r="G156" i="2"/>
  <c r="F49" i="2"/>
  <c r="F18" i="2"/>
  <c r="G162" i="2"/>
  <c r="G160" i="2"/>
  <c r="E143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H111" i="1"/>
  <c r="F111" i="1"/>
  <c r="J570" i="1"/>
  <c r="L432" i="1"/>
  <c r="D80" i="2"/>
  <c r="I168" i="1"/>
  <c r="H168" i="1"/>
  <c r="G551" i="1"/>
  <c r="J642" i="1"/>
  <c r="F475" i="1"/>
  <c r="H621" i="1" s="1"/>
  <c r="J621" i="1" s="1"/>
  <c r="G475" i="1"/>
  <c r="H622" i="1" s="1"/>
  <c r="J622" i="1" s="1"/>
  <c r="G337" i="1"/>
  <c r="G351" i="1" s="1"/>
  <c r="F168" i="1"/>
  <c r="J139" i="1"/>
  <c r="I551" i="1"/>
  <c r="K548" i="1"/>
  <c r="K549" i="1"/>
  <c r="G22" i="2"/>
  <c r="K597" i="1"/>
  <c r="G646" i="1" s="1"/>
  <c r="J551" i="1"/>
  <c r="H551" i="1"/>
  <c r="C29" i="10"/>
  <c r="H139" i="1"/>
  <c r="L400" i="1"/>
  <c r="C138" i="2" s="1"/>
  <c r="L392" i="1"/>
  <c r="C137" i="2" s="1"/>
  <c r="A13" i="12"/>
  <c r="F22" i="13"/>
  <c r="C22" i="13" s="1"/>
  <c r="H25" i="13"/>
  <c r="C25" i="13" s="1"/>
  <c r="J650" i="1"/>
  <c r="J639" i="1"/>
  <c r="L559" i="1"/>
  <c r="H337" i="1"/>
  <c r="H351" i="1" s="1"/>
  <c r="G191" i="1"/>
  <c r="C35" i="10"/>
  <c r="D5" i="13"/>
  <c r="C5" i="13" s="1"/>
  <c r="E16" i="13"/>
  <c r="C16" i="13" s="1"/>
  <c r="C49" i="2"/>
  <c r="L569" i="1"/>
  <c r="I544" i="1"/>
  <c r="G36" i="2"/>
  <c r="J640" i="1" l="1"/>
  <c r="G407" i="1"/>
  <c r="H644" i="1" s="1"/>
  <c r="G157" i="2"/>
  <c r="G155" i="2"/>
  <c r="C23" i="10"/>
  <c r="F570" i="1"/>
  <c r="H407" i="1"/>
  <c r="H643" i="1" s="1"/>
  <c r="L336" i="1"/>
  <c r="G158" i="2"/>
  <c r="E114" i="2"/>
  <c r="K550" i="1"/>
  <c r="K551" i="1" s="1"/>
  <c r="L523" i="1"/>
  <c r="H544" i="1"/>
  <c r="G544" i="1"/>
  <c r="L528" i="1"/>
  <c r="L544" i="1" s="1"/>
  <c r="J644" i="1"/>
  <c r="J256" i="1"/>
  <c r="J270" i="1" s="1"/>
  <c r="F256" i="1"/>
  <c r="F270" i="1" s="1"/>
  <c r="H33" i="13"/>
  <c r="C111" i="2"/>
  <c r="K256" i="1"/>
  <c r="K270" i="1" s="1"/>
  <c r="H256" i="1"/>
  <c r="H270" i="1" s="1"/>
  <c r="J646" i="1"/>
  <c r="L210" i="1"/>
  <c r="C114" i="2"/>
  <c r="D144" i="2"/>
  <c r="I660" i="1"/>
  <c r="J638" i="1"/>
  <c r="E124" i="2"/>
  <c r="E127" i="2" s="1"/>
  <c r="E144" i="2" s="1"/>
  <c r="C17" i="10"/>
  <c r="L289" i="1"/>
  <c r="L308" i="1"/>
  <c r="J648" i="1"/>
  <c r="J643" i="1"/>
  <c r="I51" i="1"/>
  <c r="H619" i="1" s="1"/>
  <c r="J619" i="1" s="1"/>
  <c r="G51" i="1"/>
  <c r="H617" i="1" s="1"/>
  <c r="E50" i="2"/>
  <c r="H51" i="1"/>
  <c r="H618" i="1" s="1"/>
  <c r="C50" i="2"/>
  <c r="F51" i="1"/>
  <c r="H616" i="1" s="1"/>
  <c r="J616" i="1" s="1"/>
  <c r="E33" i="13"/>
  <c r="D35" i="13" s="1"/>
  <c r="F50" i="2"/>
  <c r="C80" i="2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G18" i="2" s="1"/>
  <c r="J19" i="1"/>
  <c r="G620" i="1" s="1"/>
  <c r="F544" i="1"/>
  <c r="H433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J641" i="1"/>
  <c r="G570" i="1"/>
  <c r="I433" i="1"/>
  <c r="G433" i="1"/>
  <c r="I662" i="1"/>
  <c r="C27" i="10"/>
  <c r="G634" i="1"/>
  <c r="J634" i="1" s="1"/>
  <c r="F659" i="1" l="1"/>
  <c r="F663" i="1" s="1"/>
  <c r="F671" i="1" s="1"/>
  <c r="C4" i="10" s="1"/>
  <c r="L337" i="1"/>
  <c r="L351" i="1" s="1"/>
  <c r="G632" i="1" s="1"/>
  <c r="J632" i="1" s="1"/>
  <c r="D31" i="13"/>
  <c r="C31" i="13" s="1"/>
  <c r="H645" i="1"/>
  <c r="J645" i="1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F666" i="1" l="1"/>
  <c r="C41" i="10"/>
  <c r="D38" i="10" s="1"/>
  <c r="D37" i="10" l="1"/>
  <c r="D36" i="10"/>
  <c r="D35" i="10"/>
  <c r="D40" i="10"/>
  <c r="D39" i="10"/>
  <c r="D41" i="10" l="1"/>
  <c r="G228" i="1"/>
  <c r="G256" i="1" s="1"/>
  <c r="G270" i="1" s="1"/>
  <c r="L222" i="1"/>
  <c r="D12" i="13" s="1"/>
  <c r="L228" i="1"/>
  <c r="L256" i="1" s="1"/>
  <c r="L270" i="1" s="1"/>
  <c r="G631" i="1" s="1"/>
  <c r="J631" i="1" l="1"/>
  <c r="H655" i="1"/>
  <c r="D33" i="13"/>
  <c r="D36" i="13" s="1"/>
  <c r="C12" i="13"/>
  <c r="C18" i="10"/>
  <c r="G659" i="1"/>
  <c r="C120" i="2"/>
  <c r="C127" i="2" s="1"/>
  <c r="C144" i="2" s="1"/>
  <c r="C28" i="10" l="1"/>
  <c r="I659" i="1"/>
  <c r="I663" i="1" s="1"/>
  <c r="G663" i="1"/>
  <c r="D13" i="10" l="1"/>
  <c r="D17" i="10"/>
  <c r="D12" i="10"/>
  <c r="D21" i="10"/>
  <c r="D24" i="10"/>
  <c r="D26" i="10"/>
  <c r="D10" i="10"/>
  <c r="D25" i="10"/>
  <c r="D23" i="10"/>
  <c r="C30" i="10"/>
  <c r="D20" i="10"/>
  <c r="D11" i="10"/>
  <c r="D22" i="10"/>
  <c r="D27" i="10"/>
  <c r="D16" i="10"/>
  <c r="D19" i="10"/>
  <c r="D15" i="10"/>
  <c r="D18" i="10"/>
  <c r="G671" i="1"/>
  <c r="C5" i="10" s="1"/>
  <c r="G666" i="1"/>
  <c r="I671" i="1"/>
  <c r="C7" i="10" s="1"/>
  <c r="I666" i="1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<sst xmlns="http://schemas.openxmlformats.org/spreadsheetml/2006/main" count="3946" uniqueCount="912">
  <si>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</si>
  <si>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</si>
  <si>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</si>
  <si>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</si>
  <si>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</si>
  <si>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</si>
  <si>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</si>
  <si>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</si>
  <si>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</si>
  <si>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</si>
  <si>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</si>
  <si>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</si>
  <si>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</si>
  <si>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</si>
  <si>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</si>
  <si>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</si>
  <si>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</si>
  <si>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</si>
  <si>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</si>
  <si>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</si>
  <si>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</si>
  <si>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</si>
  <si>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</si>
  <si>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</si>
  <si>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</si>
  <si>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</si>
  <si>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</si>
  <si>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</si>
  <si>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</si>
  <si>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</si>
  <si>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</si>
  <si>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</si>
  <si>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</si>
  <si>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</si>
  <si>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</si>
  <si>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</si>
  <si>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</si>
  <si>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</si>
  <si>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</si>
  <si>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</si>
  <si>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</si>
  <si>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</si>
  <si>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</si>
  <si>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</si>
  <si>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</si>
  <si>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</si>
  <si>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</si>
  <si>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</si>
  <si>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</si>
  <si>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</si>
  <si>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</si>
  <si>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</si>
  <si>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</si>
  <si>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</si>
  <si>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</si>
  <si>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</si>
  <si>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</si>
  <si>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</si>
  <si>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</si>
  <si>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</si>
  <si>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</si>
  <si>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</si>
  <si>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</si>
  <si>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</si>
  <si>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</si>
  <si>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</si>
  <si>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</si>
  <si>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</si>
  <si>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</si>
  <si>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</si>
  <si>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</si>
  <si>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</si>
  <si>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</si>
  <si>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</si>
  <si>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</si>
  <si>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</si>
  <si>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</si>
  <si>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</si>
  <si>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</si>
  <si>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</si>
  <si>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</si>
  <si>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</si>
  <si>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</si>
  <si>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</si>
  <si>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</si>
  <si>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</si>
  <si>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</si>
  <si>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</si>
  <si>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</si>
  <si>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</si>
  <si>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</si>
  <si>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</si>
  <si>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</si>
  <si>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</si>
  <si>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</si>
  <si>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</si>
  <si>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</si>
  <si>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</si>
  <si>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</si>
  <si>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</si>
  <si>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</si>
  <si>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</si>
  <si>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</si>
  <si>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</si>
  <si>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</si>
  <si>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</si>
  <si>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</si>
  <si>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</si>
  <si>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</si>
  <si>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</si>
  <si>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</si>
  <si>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</si>
  <si>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</si>
  <si>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</si>
  <si>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</si>
  <si>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</si>
  <si>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</si>
  <si>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</si>
  <si>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</si>
  <si>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</si>
  <si>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</si>
  <si>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</si>
  <si>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</si>
  <si>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</si>
  <si>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</si>
  <si>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</si>
  <si>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</si>
  <si>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</si>
  <si>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</si>
  <si>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</si>
  <si>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</si>
  <si>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</si>
  <si>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</si>
  <si>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</si>
  <si>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</si>
  <si>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</si>
  <si>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</si>
  <si>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</si>
  <si>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</si>
  <si>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</si>
  <si>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</si>
  <si>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</si>
  <si>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</si>
  <si>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</si>
  <si>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</si>
  <si>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</si>
  <si>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</si>
  <si>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</si>
  <si>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</si>
  <si>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</si>
  <si>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</si>
  <si>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</si>
  <si>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</si>
  <si>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</si>
  <si>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</si>
  <si>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</si>
  <si>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</si>
  <si>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</si>
  <si>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</si>
  <si>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</si>
  <si>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</si>
  <si>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</si>
  <si>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</si>
  <si>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</si>
  <si>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</si>
  <si>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</si>
  <si>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</si>
  <si>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</si>
  <si>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</si>
  <si>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</si>
  <si>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</si>
  <si>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</si>
  <si>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</si>
  <si>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</si>
  <si>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</si>
  <si>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</si>
  <si>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</si>
  <si>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</si>
  <si>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</si>
  <si>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</si>
  <si>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</si>
  <si>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</si>
  <si>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</si>
  <si>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</si>
  <si>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</si>
  <si>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</si>
  <si>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</si>
  <si>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</si>
  <si>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</si>
  <si>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</si>
  <si>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</si>
  <si>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</si>
  <si>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</si>
  <si>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</si>
  <si>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</si>
  <si>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</si>
  <si>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</si>
  <si>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</si>
  <si>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</si>
  <si>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</si>
  <si>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</si>
  <si>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</si>
  <si>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</si>
  <si>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</si>
  <si>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</si>
  <si>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</si>
  <si>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</si>
  <si>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</si>
  <si>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</si>
  <si>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</si>
  <si>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</si>
  <si>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</si>
  <si>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</si>
  <si>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</si>
  <si>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</si>
  <si>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</si>
  <si>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</si>
  <si>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</si>
  <si>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</si>
  <si>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</si>
  <si>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</si>
  <si>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</si>
  <si>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</si>
  <si>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</si>
  <si>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</si>
  <si>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</si>
  <si>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</si>
  <si>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</si>
  <si>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</si>
  <si>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</si>
  <si>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</si>
  <si>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</si>
  <si>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</si>
  <si>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</si>
  <si>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</si>
  <si>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</si>
  <si>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</si>
  <si>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</si>
  <si>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</si>
  <si>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</si>
  <si>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</si>
  <si>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</si>
  <si>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</si>
  <si>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</si>
  <si>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</si>
  <si>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</si>
  <si>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</si>
  <si>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</si>
  <si>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</si>
  <si>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</si>
  <si>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</si>
  <si>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</si>
  <si>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</si>
  <si>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</si>
  <si>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</si>
  <si>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</si>
  <si>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</si>
  <si>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</si>
  <si>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</si>
  <si>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</si>
  <si>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</si>
  <si>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</si>
  <si>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</si>
  <si>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</si>
  <si>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</si>
  <si>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</si>
  <si>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</si>
  <si>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</si>
  <si>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</si>
  <si>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</si>
  <si>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</si>
  <si>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</si>
  <si>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</si>
  <si>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</si>
  <si>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</si>
  <si>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</si>
  <si>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</si>
  <si>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</si>
  <si>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</si>
  <si>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</si>
  <si>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</si>
  <si>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</si>
  <si>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</si>
  <si>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</si>
  <si>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</si>
  <si>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</si>
  <si>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</si>
  <si>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</si>
  <si>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</si>
  <si>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</si>
  <si>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</si>
  <si>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</si>
  <si>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</si>
  <si>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</si>
  <si>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</si>
  <si>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</si>
  <si>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</si>
  <si>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</si>
  <si>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</si>
  <si>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</si>
  <si>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</si>
  <si>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</si>
  <si>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</si>
  <si>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</si>
  <si>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</si>
  <si>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</si>
  <si>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</si>
  <si>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</si>
  <si>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</si>
  <si>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</si>
  <si>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</si>
  <si>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</si>
  <si>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</si>
  <si>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</si>
  <si>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</si>
  <si>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</si>
  <si>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</si>
  <si>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</si>
  <si>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</si>
  <si>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</si>
  <si>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</si>
  <si>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</si>
  <si>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</si>
  <si>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</si>
  <si>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</si>
  <si>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</si>
  <si>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</si>
  <si>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</si>
  <si>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</si>
  <si>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</si>
  <si>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</si>
  <si>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</si>
  <si>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</si>
  <si>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</si>
  <si>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</si>
  <si>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</si>
  <si>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</si>
  <si>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</si>
  <si>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</si>
  <si>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</si>
  <si>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</si>
  <si>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</si>
  <si>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</si>
  <si>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</si>
  <si>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</si>
  <si>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</si>
  <si>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</si>
  <si>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</si>
  <si>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</si>
  <si>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</si>
  <si>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</si>
  <si>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</si>
  <si>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</si>
  <si>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</si>
  <si>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</si>
  <si>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</si>
  <si>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</si>
  <si>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</si>
  <si>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</si>
  <si>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</si>
  <si>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</si>
  <si>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</si>
  <si>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</si>
  <si>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</si>
  <si>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</si>
  <si>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</si>
  <si>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</si>
  <si>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</si>
  <si>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</si>
  <si>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</si>
  <si>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</si>
  <si>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</si>
  <si>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</si>
  <si>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</si>
  <si>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</si>
  <si>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</si>
  <si>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</si>
  <si>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</si>
  <si>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</si>
  <si>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</si>
  <si>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</si>
  <si>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</si>
  <si>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</si>
  <si>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</si>
  <si>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</si>
  <si>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</si>
  <si>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</si>
  <si>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</si>
  <si>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</si>
  <si>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</si>
  <si>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</si>
  <si>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</si>
  <si>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</si>
  <si>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</si>
  <si>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</si>
  <si>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</si>
  <si>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</si>
  <si>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</si>
  <si>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</si>
  <si>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</si>
  <si>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</si>
  <si>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</si>
  <si>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</si>
  <si>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</si>
  <si>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</si>
  <si>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</si>
  <si>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</si>
  <si>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</si>
  <si>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</si>
  <si>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</si>
  <si>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</si>
  <si>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</si>
  <si>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</si>
  <si>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</si>
  <si>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</si>
  <si>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</si>
  <si>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</si>
  <si>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</si>
  <si>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</si>
  <si>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</si>
  <si>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</si>
  <si>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</si>
  <si>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</si>
  <si>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</si>
  <si>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</si>
  <si>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</si>
  <si>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</si>
  <si>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</si>
  <si>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</si>
  <si>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</si>
  <si>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</si>
  <si>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</si>
  <si>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</si>
  <si>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</si>
  <si>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</si>
  <si>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</si>
  <si>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</si>
  <si>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</si>
  <si>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</si>
  <si>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</si>
  <si>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</si>
  <si>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</si>
  <si>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</si>
  <si>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</si>
  <si>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</si>
  <si>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</si>
  <si>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</si>
  <si>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</si>
  <si>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</si>
  <si>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</si>
  <si>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</si>
  <si>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</si>
  <si>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</si>
  <si>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</si>
  <si>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</si>
  <si>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</si>
  <si>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</si>
  <si>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</si>
  <si>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</si>
  <si>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</si>
  <si>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</si>
  <si>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</si>
  <si>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</si>
  <si>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</si>
  <si>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</si>
  <si>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</si>
  <si>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</si>
  <si>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</si>
  <si>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</si>
  <si>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</si>
  <si>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</si>
  <si>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</si>
  <si>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</si>
  <si>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</si>
  <si>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</si>
  <si>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</si>
  <si>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</si>
  <si>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</si>
  <si>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</si>
  <si>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</si>
  <si>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</si>
  <si>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</si>
  <si>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</si>
  <si>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</si>
  <si>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</si>
  <si>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</si>
  <si>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</si>
  <si>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</si>
  <si>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</si>
  <si>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</si>
  <si>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</si>
  <si>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</si>
  <si>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</si>
  <si>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</si>
  <si>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</si>
  <si>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</si>
  <si>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</si>
  <si>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</si>
  <si>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</si>
  <si>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</si>
  <si>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</si>
  <si>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</si>
  <si>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</si>
  <si>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</si>
  <si>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</si>
  <si>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</si>
  <si>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</si>
  <si>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</si>
  <si>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</si>
  <si>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</si>
  <si>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</si>
  <si>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</si>
  <si>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</si>
  <si>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</si>
  <si>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</si>
  <si>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</si>
  <si>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</si>
  <si>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</si>
  <si>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</si>
  <si>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</si>
  <si>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</si>
  <si>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</si>
  <si>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</si>
  <si>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</si>
  <si>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</si>
  <si>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</si>
  <si>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</si>
  <si>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</si>
  <si>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</si>
  <si>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</si>
  <si>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</si>
  <si>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</si>
  <si>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</si>
  <si>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</si>
  <si>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</si>
  <si>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</si>
  <si>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</si>
  <si>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</si>
  <si>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</si>
  <si>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</si>
  <si>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</si>
  <si>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</si>
  <si>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</si>
  <si>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</si>
  <si>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</si>
  <si>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</si>
  <si>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</si>
  <si>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</si>
  <si>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</si>
  <si>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</si>
  <si>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</si>
  <si>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</si>
  <si>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</si>
  <si>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</si>
  <si>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</si>
  <si>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</si>
  <si>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</si>
  <si>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</si>
  <si>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</si>
  <si>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</si>
  <si>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</si>
  <si>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</si>
  <si>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</si>
  <si>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</si>
  <si>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</si>
  <si>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</si>
  <si>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</si>
  <si>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</si>
  <si>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</si>
  <si>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</si>
  <si>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</si>
  <si>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</si>
  <si>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</si>
  <si>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</si>
  <si>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</si>
  <si>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</si>
  <si>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</si>
  <si>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</si>
  <si>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</si>
  <si>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</si>
  <si>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</si>
  <si>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</si>
  <si>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</si>
  <si>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</si>
  <si>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</si>
  <si>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</si>
  <si>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</si>
  <si>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</si>
  <si>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</si>
  <si>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</si>
  <si>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</si>
  <si>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</si>
  <si>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</si>
  <si>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</si>
  <si>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</si>
  <si>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</si>
  <si>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</si>
  <si>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</si>
  <si>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</si>
  <si>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</si>
  <si>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</si>
  <si>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</si>
  <si>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</si>
  <si>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</si>
  <si>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</si>
  <si>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</si>
  <si>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</si>
  <si>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</si>
  <si>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</si>
  <si>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</si>
  <si>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</si>
  <si>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</si>
  <si>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</si>
  <si>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</si>
  <si>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</si>
  <si>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</si>
  <si>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</si>
  <si>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</si>
  <si>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</si>
  <si>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</si>
  <si>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</si>
  <si>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</si>
  <si>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</si>
  <si>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</si>
  <si>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</si>
  <si>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</si>
  <si>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</si>
  <si>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</si>
  <si>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</si>
  <si>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</si>
  <si>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</si>
  <si>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</si>
  <si>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</si>
  <si>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</si>
  <si>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</si>
  <si>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</si>
  <si>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</si>
  <si>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</si>
  <si>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</si>
  <si>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</si>
  <si>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</si>
  <si>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</si>
  <si>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</si>
  <si>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</si>
  <si>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</si>
  <si>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</si>
  <si>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</si>
  <si>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</si>
  <si>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</si>
  <si>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</si>
  <si>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</si>
  <si>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</si>
  <si>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</si>
  <si>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</si>
  <si>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</si>
  <si>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</si>
  <si>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</si>
  <si>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</si>
  <si>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</si>
  <si>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</si>
  <si>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</si>
  <si>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</si>
  <si>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</si>
  <si>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</si>
  <si>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</si>
  <si>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</si>
  <si>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</si>
  <si>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</si>
  <si>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</si>
  <si>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</si>
  <si>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</si>
  <si>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</si>
  <si>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</si>
  <si>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</si>
  <si>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</si>
  <si>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</si>
  <si>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</si>
  <si>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</si>
  <si>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</si>
  <si>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</si>
  <si>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</si>
  <si>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</si>
  <si>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</si>
  <si>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</si>
  <si>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</si>
  <si>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</si>
  <si>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</si>
  <si>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</si>
  <si>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</si>
  <si>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</si>
  <si>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</si>
  <si>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</si>
  <si>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</si>
  <si>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</si>
  <si>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</si>
  <si>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</si>
  <si>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</si>
  <si>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</si>
  <si>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</si>
  <si>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</si>
  <si>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</si>
  <si>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</si>
  <si>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</si>
  <si>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</si>
  <si>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</si>
  <si>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</si>
  <si>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</si>
  <si>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</si>
  <si>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</si>
  <si>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</si>
  <si>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</si>
  <si>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</si>
  <si>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</si>
  <si>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</si>
  <si>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</si>
  <si>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</si>
  <si>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</si>
  <si>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</si>
  <si>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</si>
  <si>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</si>
  <si>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</si>
  <si>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</si>
  <si>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</si>
  <si>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</si>
  <si>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</si>
  <si>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</si>
  <si>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</si>
  <si>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</si>
  <si>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</si>
  <si>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</si>
  <si>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</si>
  <si>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</si>
  <si>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</si>
  <si>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</si>
  <si>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</si>
  <si>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</si>
  <si>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</si>
  <si>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</si>
  <si>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</si>
  <si>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</si>
  <si>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</si>
  <si>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</si>
  <si>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</si>
  <si>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</si>
  <si>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</si>
  <si>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</si>
  <si>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</si>
  <si>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</si>
  <si>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</si>
  <si>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</si>
  <si>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</si>
  <si>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</si>
  <si>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</si>
  <si>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</si>
  <si>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</si>
  <si>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</si>
  <si>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</si>
  <si>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</si>
  <si>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</si>
  <si>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</si>
  <si>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</si>
  <si>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</si>
  <si>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</si>
  <si>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</si>
  <si>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</si>
  <si>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</si>
  <si>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</si>
  <si>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</si>
  <si>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</si>
  <si>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</si>
  <si>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</si>
  <si>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</si>
  <si>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</si>
  <si>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</si>
  <si>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</si>
  <si>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</si>
  <si>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</si>
  <si>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</si>
  <si>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</si>
  <si>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</si>
  <si>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</si>
  <si>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</si>
  <si>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</si>
  <si>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</si>
  <si>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</si>
  <si>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</si>
  <si>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</si>
  <si>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</si>
  <si>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</si>
  <si>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</si>
  <si>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</si>
  <si>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</si>
  <si>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</si>
  <si>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</si>
  <si>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</si>
  <si>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</si>
  <si>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</si>
  <si>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</si>
  <si>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</si>
  <si>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</si>
  <si>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</si>
  <si>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</si>
  <si>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</si>
  <si>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</si>
  <si>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</si>
  <si>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</si>
  <si>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</si>
  <si>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</si>
  <si>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</si>
  <si>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</si>
  <si>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</si>
  <si>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</si>
  <si>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</si>
  <si>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</si>
  <si>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</si>
  <si>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</si>
  <si>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</si>
  <si>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</si>
  <si>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</si>
  <si>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</si>
  <si>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</si>
  <si>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</si>
  <si>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</si>
  <si>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</si>
  <si>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</si>
  <si>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</si>
  <si>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</si>
  <si>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</si>
  <si>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</si>
  <si>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</si>
  <si>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</si>
  <si>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</si>
  <si>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</si>
  <si>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</si>
  <si>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</si>
  <si>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</si>
  <si>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</si>
  <si>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</si>
  <si>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</si>
  <si>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</si>
  <si>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</si>
  <si>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</si>
  <si>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</si>
  <si>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</si>
  <si>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</si>
  <si>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</si>
  <si>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</si>
  <si>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</si>
  <si>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</si>
  <si>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</si>
  <si>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</si>
  <si>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</si>
  <si>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</si>
  <si>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</si>
  <si>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</si>
  <si>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</si>
  <si>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</si>
  <si>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</si>
  <si>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</si>
  <si>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</si>
  <si>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</si>
  <si>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</si>
  <si>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</si>
  <si>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</si>
  <si>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</si>
  <si>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</si>
  <si>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</si>
  <si>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</si>
  <si>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</si>
  <si>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</si>
  <si>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</si>
  <si>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</si>
  <si>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</si>
  <si>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</si>
  <si>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</si>
  <si>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</si>
  <si>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</si>
  <si>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</si>
  <si>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</si>
  <si>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</si>
  <si>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</si>
  <si>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</si>
  <si>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</si>
  <si>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</si>
  <si>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</si>
  <si>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</si>
  <si>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</si>
  <si>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</si>
  <si>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</si>
  <si>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</si>
  <si>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</si>
  <si>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</si>
  <si>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</si>
  <si>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</si>
  <si>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</si>
  <si>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</si>
  <si>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</si>
  <si>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</si>
  <si>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</si>
  <si>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</si>
  <si>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</si>
  <si>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</si>
  <si>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</si>
  <si>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</si>
  <si>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</si>
  <si>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</si>
  <si>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</si>
  <si>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</si>
  <si>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</si>
  <si>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Hooksett School District</t>
  </si>
  <si>
    <t>05/02</t>
  </si>
  <si>
    <t>07/22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</si>
</sst>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" fontId="4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506" activePane="bottomRight" state="frozen"/>
      <selection pane="topRight" activeCell="F1" sqref="F1"/>
      <selection pane="bottomLeft" activeCell="A4" sqref="A4"/>
      <selection pane="bottomRight" activeCell="H540" sqref="H540:H54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261</v>
      </c>
      <c r="C2" s="21">
        <v>261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1040376.36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228903.37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25457.73</v>
      </c>
      <c r="G13" s="18">
        <v>32062.49</v>
      </c>
      <c r="H13" s="18">
        <v>159921</v>
      </c>
      <c r="I13" s="18"/>
      <c r="J13" s="67">
        <f>SUM(I441)</f>
        <v>389746.43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4164.45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1298901.9099999999</v>
      </c>
      <c r="G19" s="41">
        <f>SUM(G9:G18)</f>
        <v>32062.49</v>
      </c>
      <c r="H19" s="41">
        <f>SUM(H9:H18)</f>
        <v>159921</v>
      </c>
      <c r="I19" s="41">
        <f>SUM(I9:I18)</f>
        <v>0</v>
      </c>
      <c r="J19" s="41">
        <f>SUM(J9:J18)</f>
        <v>389746.43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20009.09</v>
      </c>
      <c r="H22" s="18">
        <v>149730.28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327019.39</v>
      </c>
      <c r="G24" s="18">
        <v>1797.51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29288.84</v>
      </c>
      <c r="G28" s="18">
        <v>1252.23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9003.66</v>
      </c>
      <c r="H30" s="18">
        <v>10190.719999999999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356308.23000000004</v>
      </c>
      <c r="G32" s="41">
        <f>SUM(G22:G31)</f>
        <v>32062.489999999998</v>
      </c>
      <c r="H32" s="41">
        <f>SUM(H22:H31)</f>
        <v>159921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389746.43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9198.2199999999993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933395.46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942593.67999999993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389746.43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1298901.9099999999</v>
      </c>
      <c r="G51" s="41">
        <f>G50+G32</f>
        <v>32062.489999999998</v>
      </c>
      <c r="H51" s="41">
        <f>H50+H32</f>
        <v>159921</v>
      </c>
      <c r="I51" s="41">
        <f>I50+I32</f>
        <v>0</v>
      </c>
      <c r="J51" s="41">
        <f>J50+J32</f>
        <v>389746.43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17943207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85964.17</v>
      </c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18029171.170000002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19131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4955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24086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21213.54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21213.54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5.43</v>
      </c>
      <c r="G95" s="18"/>
      <c r="H95" s="18"/>
      <c r="I95" s="18"/>
      <c r="J95" s="18">
        <v>3239.89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308819.78999999998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20741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3164.35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33086.89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1924.01</v>
      </c>
      <c r="G109" s="18"/>
      <c r="H109" s="18">
        <v>2000</v>
      </c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55757.33</v>
      </c>
      <c r="G110" s="41">
        <f>SUM(G95:G109)</f>
        <v>308819.78999999998</v>
      </c>
      <c r="H110" s="41">
        <f>SUM(H95:H109)</f>
        <v>5164.3500000000004</v>
      </c>
      <c r="I110" s="41">
        <f>SUM(I95:I109)</f>
        <v>0</v>
      </c>
      <c r="J110" s="41">
        <f>SUM(J95:J109)</f>
        <v>3239.89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18130228.039999999</v>
      </c>
      <c r="G111" s="41">
        <f>G59+G110</f>
        <v>308819.78999999998</v>
      </c>
      <c r="H111" s="41">
        <f>H59+H78+H93+H110</f>
        <v>5164.3500000000004</v>
      </c>
      <c r="I111" s="41">
        <f>I59+I110</f>
        <v>0</v>
      </c>
      <c r="J111" s="41">
        <f>J59+J110</f>
        <v>3239.89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3073988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3682884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6756872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330172.46999999997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276082.67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6683.48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606255.1399999999</v>
      </c>
      <c r="G135" s="41">
        <f>SUM(G122:G134)</f>
        <v>6683.48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>
        <v>6383.57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7363127.1399999997</v>
      </c>
      <c r="G139" s="41">
        <f>G120+SUM(G135:G136)</f>
        <v>6683.48</v>
      </c>
      <c r="H139" s="41">
        <f>H120+SUM(H135:H138)</f>
        <v>6383.57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119014.6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27945.96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121344.73+28540.8+21278.86</f>
        <v>171164.39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324597.96000000002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202171.35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202171.35</v>
      </c>
      <c r="G161" s="41">
        <f>SUM(G149:G160)</f>
        <v>171164.39</v>
      </c>
      <c r="H161" s="41">
        <f>SUM(H149:H160)</f>
        <v>471558.52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>
        <v>3371</v>
      </c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202171.35</v>
      </c>
      <c r="G168" s="41">
        <f>G146+G161+SUM(G162:G167)</f>
        <v>171164.39</v>
      </c>
      <c r="H168" s="41">
        <f>H146+H161+SUM(H162:H167)</f>
        <v>474929.52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128276.12</v>
      </c>
      <c r="H178" s="18"/>
      <c r="I178" s="18"/>
      <c r="J178" s="18">
        <v>120000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128276.12</v>
      </c>
      <c r="H182" s="41">
        <f>SUM(H178:H181)</f>
        <v>0</v>
      </c>
      <c r="I182" s="41">
        <f>SUM(I178:I181)</f>
        <v>0</v>
      </c>
      <c r="J182" s="41">
        <f>SUM(J178:J181)</f>
        <v>120000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128276.12</v>
      </c>
      <c r="H191" s="41">
        <f>+H182+SUM(H187:H190)</f>
        <v>0</v>
      </c>
      <c r="I191" s="41">
        <f>I176+I182+SUM(I187:I190)</f>
        <v>0</v>
      </c>
      <c r="J191" s="41">
        <f>J182</f>
        <v>120000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25695526.530000001</v>
      </c>
      <c r="G192" s="47">
        <f>G111+G139+G168+G191</f>
        <v>614943.78</v>
      </c>
      <c r="H192" s="47">
        <f>H111+H139+H168+H191</f>
        <v>486477.44</v>
      </c>
      <c r="I192" s="47">
        <f>I111+I139+I168+I191</f>
        <v>0</v>
      </c>
      <c r="J192" s="47">
        <f>J111+J139+J191</f>
        <v>123239.89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3003061.5+37002.82</f>
        <v>3040064.32</v>
      </c>
      <c r="G196" s="18">
        <f>1518347.87+41885.08</f>
        <v>1560232.9500000002</v>
      </c>
      <c r="H196" s="18">
        <f>1331.4+29816.22</f>
        <v>31147.620000000003</v>
      </c>
      <c r="I196" s="18">
        <f>100387.88</f>
        <v>100387.88</v>
      </c>
      <c r="J196" s="18">
        <f>6866.85</f>
        <v>6866.85</v>
      </c>
      <c r="K196" s="18">
        <f>2610.72</f>
        <v>2610.7199999999998</v>
      </c>
      <c r="L196" s="19">
        <f>SUM(F196:K196)</f>
        <v>4741310.3399999989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534842+44096.88+80771.87+57456.42+74580.11</f>
        <v>791747.28</v>
      </c>
      <c r="G197" s="18">
        <f>246258.62+5181.92+40070.9+32583.89+38914.36</f>
        <v>363009.69</v>
      </c>
      <c r="H197" s="18">
        <f>107780.06+84535.39+2352.56+2449.82</f>
        <v>197117.83000000002</v>
      </c>
      <c r="I197" s="18">
        <f>1164.87+265.75+737.6+1389.11</f>
        <v>3557.33</v>
      </c>
      <c r="J197" s="18">
        <f>3151.98+206.3+858+296.81</f>
        <v>4513.0900000000011</v>
      </c>
      <c r="K197" s="18">
        <f>1720+950</f>
        <v>2670</v>
      </c>
      <c r="L197" s="19">
        <f>SUM(F197:K197)</f>
        <v>1362615.2200000002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6712.5+3600</f>
        <v>10312.5</v>
      </c>
      <c r="G199" s="18">
        <f>1097.65+682.23</f>
        <v>1779.88</v>
      </c>
      <c r="H199" s="18">
        <f>400+99</f>
        <v>499</v>
      </c>
      <c r="I199" s="18">
        <f>242.82</f>
        <v>242.82</v>
      </c>
      <c r="J199" s="18">
        <f>450</f>
        <v>450</v>
      </c>
      <c r="K199" s="18"/>
      <c r="L199" s="19">
        <f>SUM(F199:K199)</f>
        <v>13284.2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120184.07+84117.87+179992.01+43213.71</f>
        <v>427507.66000000003</v>
      </c>
      <c r="G201" s="18">
        <f>47192.1+36878.88+89046.54+2565.43+14435.26</f>
        <v>190118.21</v>
      </c>
      <c r="H201" s="18">
        <f>30273.03+1001+338+100+2660.19+46802.85+35556.84</f>
        <v>116731.91</v>
      </c>
      <c r="I201" s="18">
        <f>565.41+3645.29+2540+1528.91+975.65</f>
        <v>9255.26</v>
      </c>
      <c r="J201" s="18">
        <f>1394.49</f>
        <v>1394.49</v>
      </c>
      <c r="K201" s="18">
        <f>3453.98</f>
        <v>3453.98</v>
      </c>
      <c r="L201" s="19">
        <f t="shared" ref="L201:L207" si="0">SUM(F201:K201)</f>
        <v>748461.51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142520.54+48946.14</f>
        <v>191466.68</v>
      </c>
      <c r="G202" s="18">
        <f>1065+80182.96+27542.96</f>
        <v>108790.92000000001</v>
      </c>
      <c r="H202" s="18">
        <f>4551.41+6824.69</f>
        <v>11376.099999999999</v>
      </c>
      <c r="I202" s="18">
        <f>24017.75</f>
        <v>24017.75</v>
      </c>
      <c r="J202" s="18">
        <f>13503.35</f>
        <v>13503.35</v>
      </c>
      <c r="K202" s="18">
        <f>286</f>
        <v>286</v>
      </c>
      <c r="L202" s="19">
        <f t="shared" si="0"/>
        <v>349440.79999999993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11482.13</f>
        <v>11482.13</v>
      </c>
      <c r="G203" s="18">
        <f>897.08</f>
        <v>897.08</v>
      </c>
      <c r="H203" s="18">
        <f>64441.25+363527.26</f>
        <v>427968.51</v>
      </c>
      <c r="I203" s="18">
        <f>3049.39</f>
        <v>3049.39</v>
      </c>
      <c r="J203" s="18">
        <f>1184.62</f>
        <v>1184.6199999999999</v>
      </c>
      <c r="K203" s="18">
        <f>7572.14</f>
        <v>7572.14</v>
      </c>
      <c r="L203" s="19">
        <f t="shared" si="0"/>
        <v>452153.87000000005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441155.18</f>
        <v>441155.18</v>
      </c>
      <c r="G204" s="18">
        <f>216978.26</f>
        <v>216978.26</v>
      </c>
      <c r="H204" s="18">
        <f>7709.51+16558.84+1885.01</f>
        <v>26153.359999999997</v>
      </c>
      <c r="I204" s="18">
        <f>4820.47</f>
        <v>4820.47</v>
      </c>
      <c r="J204" s="18">
        <f>2909.1</f>
        <v>2909.1</v>
      </c>
      <c r="K204" s="18">
        <f>2535</f>
        <v>2535</v>
      </c>
      <c r="L204" s="19">
        <f t="shared" si="0"/>
        <v>694551.36999999988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254193.55+42669.63</f>
        <v>296863.18</v>
      </c>
      <c r="G206" s="18">
        <f>115105.28+22540.39</f>
        <v>137645.66999999998</v>
      </c>
      <c r="H206" s="18">
        <f>167981.88+6123.64+34255.76</f>
        <v>208361.28000000003</v>
      </c>
      <c r="I206" s="18">
        <f>243283.33+148.81</f>
        <v>243432.13999999998</v>
      </c>
      <c r="J206" s="18">
        <f>42704.96</f>
        <v>42704.959999999999</v>
      </c>
      <c r="K206" s="18"/>
      <c r="L206" s="19">
        <f t="shared" si="0"/>
        <v>929007.23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7948.8+344839.02+138649.63</f>
        <v>491437.45</v>
      </c>
      <c r="I207" s="18"/>
      <c r="J207" s="18"/>
      <c r="K207" s="18"/>
      <c r="L207" s="19">
        <f t="shared" si="0"/>
        <v>491437.45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f>49658.54+48435.77</f>
        <v>98094.31</v>
      </c>
      <c r="G208" s="18">
        <f>7512.55+22722.49</f>
        <v>30235.040000000001</v>
      </c>
      <c r="H208" s="18">
        <f>502.5+3520.71+5438.22</f>
        <v>9461.43</v>
      </c>
      <c r="I208" s="18">
        <f>1242.34+6362.82</f>
        <v>7605.16</v>
      </c>
      <c r="J208" s="18">
        <f>5187.09</f>
        <v>5187.09</v>
      </c>
      <c r="K208" s="18"/>
      <c r="L208" s="19">
        <f>SUM(F208:K208)</f>
        <v>150583.03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5308693.2399999984</v>
      </c>
      <c r="G210" s="41">
        <f t="shared" si="1"/>
        <v>2609687.7000000002</v>
      </c>
      <c r="H210" s="41">
        <f t="shared" si="1"/>
        <v>1520254.49</v>
      </c>
      <c r="I210" s="41">
        <f t="shared" si="1"/>
        <v>396368.2</v>
      </c>
      <c r="J210" s="41">
        <f t="shared" si="1"/>
        <v>78713.549999999988</v>
      </c>
      <c r="K210" s="41">
        <f t="shared" si="1"/>
        <v>19127.84</v>
      </c>
      <c r="L210" s="41">
        <f t="shared" si="1"/>
        <v>9932845.0199999977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1857841.45+18102.05</f>
        <v>1875943.5</v>
      </c>
      <c r="G214" s="18">
        <f>824498.34+20560.4</f>
        <v>845058.74</v>
      </c>
      <c r="H214" s="18">
        <f>2950+17978.25+2469</f>
        <v>23397.25</v>
      </c>
      <c r="I214" s="18">
        <f>96562.8</f>
        <v>96562.8</v>
      </c>
      <c r="J214" s="18">
        <f>6478.6</f>
        <v>6478.6</v>
      </c>
      <c r="K214" s="18">
        <f>1285.88</f>
        <v>1285.8800000000001</v>
      </c>
      <c r="L214" s="19">
        <f>SUM(F214:K214)</f>
        <v>2848726.77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354347.64+8594.89+44019+53068+36461.39</f>
        <v>496490.92000000004</v>
      </c>
      <c r="G215" s="18">
        <f>235478.89+1033.51+8567.32+31748.33+19024.81</f>
        <v>295852.86000000004</v>
      </c>
      <c r="H215" s="18">
        <f>679.75+41636.82+1158.72+1206.63</f>
        <v>44681.919999999998</v>
      </c>
      <c r="I215" s="18">
        <f>3031.46+248.44+573.51+684.19</f>
        <v>4537.6000000000004</v>
      </c>
      <c r="J215" s="18">
        <f>921+146.19</f>
        <v>1067.19</v>
      </c>
      <c r="K215" s="18"/>
      <c r="L215" s="19">
        <f>SUM(F215:K215)</f>
        <v>842630.49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25688.7+23924+6660</f>
        <v>56272.7</v>
      </c>
      <c r="G217" s="18">
        <f>4978.41+3399+1262.09</f>
        <v>9639.5</v>
      </c>
      <c r="H217" s="18">
        <f>645.58+7740+457.37</f>
        <v>8842.9500000000007</v>
      </c>
      <c r="I217" s="18">
        <f>2327.83+1100.12+2257.7</f>
        <v>5685.65</v>
      </c>
      <c r="J217" s="18">
        <f>1749.5</f>
        <v>1749.5</v>
      </c>
      <c r="K217" s="18">
        <f>1506.05+400</f>
        <v>1906.05</v>
      </c>
      <c r="L217" s="19">
        <f>SUM(F217:K217)</f>
        <v>84096.349999999991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113837.13+41398.5+69915+53885.6+21284.37</f>
        <v>300320.59999999998</v>
      </c>
      <c r="G219" s="18">
        <f>31150.53+17232+35045.31+14342.29+1263.57+7109.91</f>
        <v>106143.61000000002</v>
      </c>
      <c r="H219" s="18">
        <f>12500+208+158+1743.9+3873+662+23052.15+17513.07</f>
        <v>59710.12</v>
      </c>
      <c r="I219" s="18">
        <f>1836.65+522.42+1979.28</f>
        <v>4338.3500000000004</v>
      </c>
      <c r="J219" s="18">
        <f>161</f>
        <v>161</v>
      </c>
      <c r="K219" s="18">
        <f>1701.22</f>
        <v>1701.22</v>
      </c>
      <c r="L219" s="19">
        <f t="shared" ref="L219:L225" si="2">SUM(F219:K219)</f>
        <v>472374.89999999991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17074.8+24107.8</f>
        <v>41182.6</v>
      </c>
      <c r="G220" s="18">
        <f>11331.71+13565.93</f>
        <v>24897.64</v>
      </c>
      <c r="H220" s="18">
        <f>3261.81+3361.41</f>
        <v>6623.2199999999993</v>
      </c>
      <c r="I220" s="18">
        <f>95+12005.19</f>
        <v>12100.19</v>
      </c>
      <c r="J220" s="18">
        <f>8046</f>
        <v>8046</v>
      </c>
      <c r="K220" s="18">
        <f>260</f>
        <v>260</v>
      </c>
      <c r="L220" s="19">
        <f t="shared" si="2"/>
        <v>93109.65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5655.37</f>
        <v>5655.37</v>
      </c>
      <c r="G221" s="18">
        <f>441.84</f>
        <v>441.84</v>
      </c>
      <c r="H221" s="18">
        <f>31739.71+179050.74</f>
        <v>210790.44999999998</v>
      </c>
      <c r="I221" s="18">
        <f>1501.94</f>
        <v>1501.94</v>
      </c>
      <c r="J221" s="18">
        <f>583.47</f>
        <v>583.47</v>
      </c>
      <c r="K221" s="18">
        <f>3729.56</f>
        <v>3729.56</v>
      </c>
      <c r="L221" s="19">
        <f t="shared" si="2"/>
        <v>222702.62999999998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224850.33</f>
        <v>224850.33</v>
      </c>
      <c r="G222" s="18">
        <f>72640.93</f>
        <v>72640.929999999993</v>
      </c>
      <c r="H222" s="18">
        <f>4837.41+14442.37+928.44</f>
        <v>20208.219999999998</v>
      </c>
      <c r="I222" s="18">
        <f>624.22</f>
        <v>624.22</v>
      </c>
      <c r="J222" s="18">
        <f>499</f>
        <v>499</v>
      </c>
      <c r="K222" s="18">
        <f>1344</f>
        <v>1344</v>
      </c>
      <c r="L222" s="19">
        <f t="shared" si="2"/>
        <v>320166.69999999995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179181.98+21016.38</f>
        <v>200198.36000000002</v>
      </c>
      <c r="G224" s="18">
        <f>108705.3+11101.98</f>
        <v>119807.28</v>
      </c>
      <c r="H224" s="18">
        <f>78305.5+3016.11+16872.24</f>
        <v>98193.85</v>
      </c>
      <c r="I224" s="18">
        <f>228838.44+73.3</f>
        <v>228911.74</v>
      </c>
      <c r="J224" s="18">
        <f>3642.51</f>
        <v>3642.51</v>
      </c>
      <c r="K224" s="18"/>
      <c r="L224" s="19">
        <f t="shared" si="2"/>
        <v>650753.74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17813.7+168587.97+66551.82</f>
        <v>252953.49000000002</v>
      </c>
      <c r="I225" s="18"/>
      <c r="J225" s="18"/>
      <c r="K225" s="18"/>
      <c r="L225" s="19">
        <f t="shared" si="2"/>
        <v>252953.49000000002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f>23856.42</f>
        <v>23856.42</v>
      </c>
      <c r="G226" s="18">
        <f>11191.66</f>
        <v>11191.66</v>
      </c>
      <c r="H226" s="18">
        <f>247.5+1734.08+2678.53</f>
        <v>4660.1100000000006</v>
      </c>
      <c r="I226" s="18">
        <f>12950.9+3133.93</f>
        <v>16084.83</v>
      </c>
      <c r="J226" s="18">
        <f>2554.84</f>
        <v>2554.84</v>
      </c>
      <c r="K226" s="18"/>
      <c r="L226" s="19">
        <f>SUM(F226:K226)</f>
        <v>58347.86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3224770.8000000003</v>
      </c>
      <c r="G228" s="41">
        <f>SUM(G214:G227)</f>
        <v>1485674.06</v>
      </c>
      <c r="H228" s="41">
        <f>SUM(H214:H227)</f>
        <v>730061.58</v>
      </c>
      <c r="I228" s="41">
        <f>SUM(I214:I227)</f>
        <v>370347.32</v>
      </c>
      <c r="J228" s="41">
        <f>SUM(J214:J227)</f>
        <v>24782.110000000004</v>
      </c>
      <c r="K228" s="41">
        <f t="shared" si="3"/>
        <v>10226.710000000001</v>
      </c>
      <c r="L228" s="41">
        <f t="shared" si="3"/>
        <v>5845862.580000001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24767.8</f>
        <v>24767.8</v>
      </c>
      <c r="G232" s="18">
        <f>13977.99</f>
        <v>13977.99</v>
      </c>
      <c r="H232" s="18">
        <f>5229813.05</f>
        <v>5229813.05</v>
      </c>
      <c r="I232" s="18"/>
      <c r="J232" s="18"/>
      <c r="K232" s="18"/>
      <c r="L232" s="19">
        <f>SUM(F232:K232)</f>
        <v>5268558.84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187045.22+54692.08</f>
        <v>241737.3</v>
      </c>
      <c r="G233" s="18">
        <f>108747.63+28537.18</f>
        <v>137284.81</v>
      </c>
      <c r="H233" s="18">
        <f>2114603.4</f>
        <v>2114603.4</v>
      </c>
      <c r="I233" s="18"/>
      <c r="J233" s="18"/>
      <c r="K233" s="18"/>
      <c r="L233" s="19">
        <f>SUM(F233:K233)</f>
        <v>2493625.5099999998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252881.95+72097.82</f>
        <v>324979.77</v>
      </c>
      <c r="I243" s="18"/>
      <c r="J243" s="18"/>
      <c r="K243" s="18"/>
      <c r="L243" s="19">
        <f t="shared" si="4"/>
        <v>324979.77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266505.09999999998</v>
      </c>
      <c r="G246" s="41">
        <f t="shared" si="5"/>
        <v>151262.79999999999</v>
      </c>
      <c r="H246" s="41">
        <f t="shared" si="5"/>
        <v>7669396.2199999988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8087164.1199999992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13860</v>
      </c>
      <c r="I254" s="18"/>
      <c r="J254" s="18"/>
      <c r="K254" s="18"/>
      <c r="L254" s="19">
        <f t="shared" si="6"/>
        <v>13860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13860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13860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8799969.1399999987</v>
      </c>
      <c r="G256" s="41">
        <f t="shared" si="8"/>
        <v>4246624.5600000005</v>
      </c>
      <c r="H256" s="41">
        <f t="shared" si="8"/>
        <v>9933572.2899999991</v>
      </c>
      <c r="I256" s="41">
        <f t="shared" si="8"/>
        <v>766715.52</v>
      </c>
      <c r="J256" s="41">
        <f t="shared" si="8"/>
        <v>103495.65999999999</v>
      </c>
      <c r="K256" s="41">
        <f t="shared" si="8"/>
        <v>29354.550000000003</v>
      </c>
      <c r="L256" s="41">
        <f t="shared" si="8"/>
        <v>23879731.719999999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1035000</v>
      </c>
      <c r="L259" s="19">
        <f>SUM(F259:K259)</f>
        <v>1035000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520122.5</v>
      </c>
      <c r="L260" s="19">
        <f>SUM(F260:K260)</f>
        <v>520122.5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128276.12</v>
      </c>
      <c r="L262" s="19">
        <f>SUM(F262:K262)</f>
        <v>128276.12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120000</v>
      </c>
      <c r="L265" s="19">
        <f t="shared" si="9"/>
        <v>120000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1803398.62</v>
      </c>
      <c r="L269" s="41">
        <f t="shared" si="9"/>
        <v>1803398.62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8799969.1399999987</v>
      </c>
      <c r="G270" s="42">
        <f t="shared" si="11"/>
        <v>4246624.5600000005</v>
      </c>
      <c r="H270" s="42">
        <f t="shared" si="11"/>
        <v>9933572.2899999991</v>
      </c>
      <c r="I270" s="42">
        <f t="shared" si="11"/>
        <v>766715.52</v>
      </c>
      <c r="J270" s="42">
        <f t="shared" si="11"/>
        <v>103495.65999999999</v>
      </c>
      <c r="K270" s="42">
        <f t="shared" si="11"/>
        <v>1832753.1700000002</v>
      </c>
      <c r="L270" s="42">
        <f t="shared" si="11"/>
        <v>25683130.34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53434.8</f>
        <v>53434.8</v>
      </c>
      <c r="G275" s="18">
        <f>8498.53</f>
        <v>8498.5300000000007</v>
      </c>
      <c r="H275" s="18">
        <f>9336.22</f>
        <v>9336.2199999999993</v>
      </c>
      <c r="I275" s="18">
        <f>2485.67+138.05</f>
        <v>2623.7200000000003</v>
      </c>
      <c r="J275" s="18"/>
      <c r="K275" s="18"/>
      <c r="L275" s="19">
        <f>SUM(F275:K275)</f>
        <v>73893.27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80598.24+4389</f>
        <v>84987.24</v>
      </c>
      <c r="G276" s="18">
        <f>11073.82+335.76</f>
        <v>11409.58</v>
      </c>
      <c r="H276" s="18">
        <f>15105.15+12188.19</f>
        <v>27293.34</v>
      </c>
      <c r="I276" s="18">
        <f>182.21</f>
        <v>182.21</v>
      </c>
      <c r="J276" s="18">
        <f>1743.34</f>
        <v>1743.34</v>
      </c>
      <c r="K276" s="18"/>
      <c r="L276" s="19">
        <f>SUM(F276:K276)</f>
        <v>125615.71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>
        <f>2450</f>
        <v>2450</v>
      </c>
      <c r="I278" s="18">
        <f>50</f>
        <v>50</v>
      </c>
      <c r="J278" s="18"/>
      <c r="K278" s="18"/>
      <c r="L278" s="19">
        <f>SUM(F278:K278)</f>
        <v>2500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37060.61</v>
      </c>
      <c r="G280" s="18">
        <f>6307</f>
        <v>6307</v>
      </c>
      <c r="H280" s="18">
        <f>17085+23790.86</f>
        <v>40875.86</v>
      </c>
      <c r="I280" s="18">
        <f>832.92</f>
        <v>832.92</v>
      </c>
      <c r="J280" s="18"/>
      <c r="K280" s="18"/>
      <c r="L280" s="19">
        <f t="shared" ref="L280:L286" si="12">SUM(F280:K280)</f>
        <v>85076.39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2894.4+6921.9</f>
        <v>9816.2999999999993</v>
      </c>
      <c r="G281" s="18">
        <f>542.44+1289.89</f>
        <v>1832.3300000000002</v>
      </c>
      <c r="H281" s="18">
        <f>8264.61+169.97+2672.85</f>
        <v>11107.43</v>
      </c>
      <c r="I281" s="18">
        <f>927.66+1186.5</f>
        <v>2114.16</v>
      </c>
      <c r="J281" s="18"/>
      <c r="K281" s="18"/>
      <c r="L281" s="19">
        <f t="shared" si="12"/>
        <v>24870.219999999998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f>8131.37+10.72+43.78</f>
        <v>8185.87</v>
      </c>
      <c r="L284" s="19">
        <f t="shared" si="12"/>
        <v>8185.87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>
        <f>39.32</f>
        <v>39.32</v>
      </c>
      <c r="J285" s="18"/>
      <c r="K285" s="18"/>
      <c r="L285" s="19">
        <f t="shared" si="12"/>
        <v>39.32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>
        <f>294.8</f>
        <v>294.8</v>
      </c>
      <c r="I287" s="18">
        <f>104.98</f>
        <v>104.98</v>
      </c>
      <c r="J287" s="18">
        <f>1963.77+2394</f>
        <v>4357.7700000000004</v>
      </c>
      <c r="K287" s="18"/>
      <c r="L287" s="19">
        <f>SUM(F287:K287)</f>
        <v>4757.55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185298.95</v>
      </c>
      <c r="G289" s="42">
        <f t="shared" si="13"/>
        <v>28047.440000000002</v>
      </c>
      <c r="H289" s="42">
        <f t="shared" si="13"/>
        <v>91357.650000000009</v>
      </c>
      <c r="I289" s="42">
        <f t="shared" si="13"/>
        <v>5947.3099999999995</v>
      </c>
      <c r="J289" s="42">
        <f t="shared" si="13"/>
        <v>6101.1100000000006</v>
      </c>
      <c r="K289" s="42">
        <f t="shared" si="13"/>
        <v>8185.87</v>
      </c>
      <c r="L289" s="41">
        <f t="shared" si="13"/>
        <v>324938.32999999996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26318.62</f>
        <v>26318.62</v>
      </c>
      <c r="G294" s="18">
        <f>4185.84</f>
        <v>4185.84</v>
      </c>
      <c r="H294" s="18">
        <f>4598.43</f>
        <v>4598.43</v>
      </c>
      <c r="I294" s="18">
        <f>1224.28+899.59</f>
        <v>2123.87</v>
      </c>
      <c r="J294" s="18">
        <f>3033.98</f>
        <v>3033.98</v>
      </c>
      <c r="K294" s="18"/>
      <c r="L294" s="19">
        <f>SUM(F294:K294)</f>
        <v>40260.740000000005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39697.64</f>
        <v>39697.64</v>
      </c>
      <c r="G295" s="18">
        <f>5454.26</f>
        <v>5454.26</v>
      </c>
      <c r="H295" s="18">
        <f>7439.85+6003.13</f>
        <v>13442.98</v>
      </c>
      <c r="I295" s="18">
        <f>89.74</f>
        <v>89.74</v>
      </c>
      <c r="J295" s="18">
        <f>858.66</f>
        <v>858.66</v>
      </c>
      <c r="K295" s="18"/>
      <c r="L295" s="19">
        <f>SUM(F295:K295)</f>
        <v>59543.280000000006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f>2000</f>
        <v>2000</v>
      </c>
      <c r="G297" s="18"/>
      <c r="H297" s="18"/>
      <c r="I297" s="18"/>
      <c r="J297" s="18"/>
      <c r="K297" s="18"/>
      <c r="L297" s="19">
        <f>SUM(F297:K297)</f>
        <v>2000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18253.73</v>
      </c>
      <c r="G299" s="18">
        <f>3106.43</f>
        <v>3106.43</v>
      </c>
      <c r="H299" s="18">
        <f>8415+11717.89</f>
        <v>20132.89</v>
      </c>
      <c r="I299" s="18"/>
      <c r="J299" s="18"/>
      <c r="K299" s="18"/>
      <c r="L299" s="19">
        <f t="shared" ref="L299:L305" si="14">SUM(F299:K299)</f>
        <v>41493.050000000003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f>1425.6+3409.29</f>
        <v>4834.8899999999994</v>
      </c>
      <c r="G300" s="18">
        <f>267.16+635.32</f>
        <v>902.48</v>
      </c>
      <c r="H300" s="18">
        <f>4070.64+83.72+1316.48</f>
        <v>5470.84</v>
      </c>
      <c r="I300" s="18">
        <f>410.24+456.91+584.4</f>
        <v>1451.5500000000002</v>
      </c>
      <c r="J300" s="18"/>
      <c r="K300" s="18"/>
      <c r="L300" s="19">
        <f t="shared" si="14"/>
        <v>12659.759999999998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>
        <f>4005+5.28+21.57</f>
        <v>4031.8500000000004</v>
      </c>
      <c r="L303" s="19">
        <f t="shared" si="14"/>
        <v>4031.8500000000004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>
        <f>145.2</f>
        <v>145.19999999999999</v>
      </c>
      <c r="I306" s="18"/>
      <c r="J306" s="18">
        <f>967.23+438</f>
        <v>1405.23</v>
      </c>
      <c r="K306" s="18"/>
      <c r="L306" s="19">
        <f>SUM(F306:K306)</f>
        <v>1550.43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91104.87999999999</v>
      </c>
      <c r="G308" s="42">
        <f t="shared" si="15"/>
        <v>13649.01</v>
      </c>
      <c r="H308" s="42">
        <f t="shared" si="15"/>
        <v>43790.34</v>
      </c>
      <c r="I308" s="42">
        <f t="shared" si="15"/>
        <v>3665.16</v>
      </c>
      <c r="J308" s="42">
        <f t="shared" si="15"/>
        <v>5297.87</v>
      </c>
      <c r="K308" s="42">
        <f t="shared" si="15"/>
        <v>4031.8500000000004</v>
      </c>
      <c r="L308" s="41">
        <f t="shared" si="15"/>
        <v>161539.11000000002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276403.83</v>
      </c>
      <c r="G337" s="41">
        <f t="shared" si="20"/>
        <v>41696.450000000004</v>
      </c>
      <c r="H337" s="41">
        <f t="shared" si="20"/>
        <v>135147.99</v>
      </c>
      <c r="I337" s="41">
        <f t="shared" si="20"/>
        <v>9612.4699999999993</v>
      </c>
      <c r="J337" s="41">
        <f t="shared" si="20"/>
        <v>11398.98</v>
      </c>
      <c r="K337" s="41">
        <f t="shared" si="20"/>
        <v>12217.720000000001</v>
      </c>
      <c r="L337" s="41">
        <f t="shared" si="20"/>
        <v>486477.43999999994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276403.83</v>
      </c>
      <c r="G351" s="41">
        <f>G337</f>
        <v>41696.450000000004</v>
      </c>
      <c r="H351" s="41">
        <f>H337</f>
        <v>135147.99</v>
      </c>
      <c r="I351" s="41">
        <f>I337</f>
        <v>9612.4699999999993</v>
      </c>
      <c r="J351" s="41">
        <f>J337</f>
        <v>11398.98</v>
      </c>
      <c r="K351" s="47">
        <f>K337+K350</f>
        <v>12217.720000000001</v>
      </c>
      <c r="L351" s="41">
        <f>L337+L350</f>
        <v>486477.43999999994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29666.63+127474.55</f>
        <v>157141.18</v>
      </c>
      <c r="G357" s="18">
        <f>11213.04+89034.85</f>
        <v>100247.89000000001</v>
      </c>
      <c r="H357" s="18">
        <f>3467.63+1365.17</f>
        <v>4832.8</v>
      </c>
      <c r="I357" s="18">
        <v>154071.99</v>
      </c>
      <c r="J357" s="18">
        <f>5480.15</f>
        <v>5480.15</v>
      </c>
      <c r="K357" s="18">
        <v>79.069999999999993</v>
      </c>
      <c r="L357" s="13">
        <f>SUM(F357:K357)</f>
        <v>421853.08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14611.92+66334.49</f>
        <v>80946.41</v>
      </c>
      <c r="G358" s="18">
        <f>5522.85+23498.2</f>
        <v>29021.050000000003</v>
      </c>
      <c r="H358" s="18">
        <f>3074.06</f>
        <v>3074.06</v>
      </c>
      <c r="I358" s="18">
        <v>75886.19</v>
      </c>
      <c r="J358" s="18">
        <f>4124.04</f>
        <v>4124.04</v>
      </c>
      <c r="K358" s="18">
        <v>38.950000000000003</v>
      </c>
      <c r="L358" s="19">
        <f>SUM(F358:K358)</f>
        <v>193090.70000000004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238087.59</v>
      </c>
      <c r="G361" s="47">
        <f t="shared" si="22"/>
        <v>129268.94000000002</v>
      </c>
      <c r="H361" s="47">
        <f t="shared" si="22"/>
        <v>7906.8600000000006</v>
      </c>
      <c r="I361" s="47">
        <f t="shared" si="22"/>
        <v>229958.18</v>
      </c>
      <c r="J361" s="47">
        <f t="shared" si="22"/>
        <v>9604.1899999999987</v>
      </c>
      <c r="K361" s="47">
        <f t="shared" si="22"/>
        <v>118.02</v>
      </c>
      <c r="L361" s="47">
        <f t="shared" si="22"/>
        <v>614943.78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141450.56</v>
      </c>
      <c r="G366" s="18">
        <v>69669.67</v>
      </c>
      <c r="H366" s="18"/>
      <c r="I366" s="56">
        <f>SUM(F366:H366)</f>
        <v>211120.22999999998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12621.43</v>
      </c>
      <c r="G367" s="63">
        <v>6216.52</v>
      </c>
      <c r="H367" s="63"/>
      <c r="I367" s="56">
        <f>SUM(F367:H367)</f>
        <v>18837.95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154071.99</v>
      </c>
      <c r="G368" s="47">
        <f>SUM(G366:G367)</f>
        <v>75886.19</v>
      </c>
      <c r="H368" s="47">
        <f>SUM(H366:H367)</f>
        <v>0</v>
      </c>
      <c r="I368" s="47">
        <f>SUM(I366:I367)</f>
        <v>229958.18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>
        <v>60000</v>
      </c>
      <c r="H387" s="18">
        <v>889.43</v>
      </c>
      <c r="I387" s="18"/>
      <c r="J387" s="24" t="s">
        <v>289</v>
      </c>
      <c r="K387" s="24" t="s">
        <v>289</v>
      </c>
      <c r="L387" s="56">
        <f t="shared" si="25"/>
        <v>60889.43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60000</v>
      </c>
      <c r="H392" s="139">
        <f>SUM(H386:H391)</f>
        <v>889.43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60889.43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1938.19</v>
      </c>
      <c r="I396" s="18"/>
      <c r="J396" s="24" t="s">
        <v>289</v>
      </c>
      <c r="K396" s="24" t="s">
        <v>289</v>
      </c>
      <c r="L396" s="56">
        <f t="shared" si="26"/>
        <v>1938.19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60000</v>
      </c>
      <c r="H398" s="18">
        <v>412.27</v>
      </c>
      <c r="I398" s="18"/>
      <c r="J398" s="24" t="s">
        <v>289</v>
      </c>
      <c r="K398" s="24" t="s">
        <v>289</v>
      </c>
      <c r="L398" s="56">
        <f t="shared" si="26"/>
        <v>60412.27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60000</v>
      </c>
      <c r="H400" s="47">
        <f>SUM(H394:H399)</f>
        <v>2350.46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62350.46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120000</v>
      </c>
      <c r="H407" s="47">
        <f>H392+H400+H406</f>
        <v>3239.89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123239.89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113731.48</v>
      </c>
      <c r="G441" s="18">
        <v>276014.95</v>
      </c>
      <c r="H441" s="18"/>
      <c r="I441" s="56">
        <f t="shared" si="33"/>
        <v>389746.43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113731.48</v>
      </c>
      <c r="G445" s="13">
        <f>SUM(G438:G444)</f>
        <v>276014.95</v>
      </c>
      <c r="H445" s="13">
        <f>SUM(H438:H444)</f>
        <v>0</v>
      </c>
      <c r="I445" s="13">
        <f>SUM(I438:I444)</f>
        <v>389746.43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113731.48</v>
      </c>
      <c r="G458" s="18">
        <v>276014.95</v>
      </c>
      <c r="H458" s="18"/>
      <c r="I458" s="56">
        <f t="shared" si="34"/>
        <v>389746.43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113731.48</v>
      </c>
      <c r="G459" s="83">
        <f>SUM(G453:G458)</f>
        <v>276014.95</v>
      </c>
      <c r="H459" s="83">
        <f>SUM(H453:H458)</f>
        <v>0</v>
      </c>
      <c r="I459" s="83">
        <f>SUM(I453:I458)</f>
        <v>389746.43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113731.48</v>
      </c>
      <c r="G460" s="42">
        <f>G451+G459</f>
        <v>276014.95</v>
      </c>
      <c r="H460" s="42">
        <f>H451+H459</f>
        <v>0</v>
      </c>
      <c r="I460" s="42">
        <f>I451+I459</f>
        <v>389746.43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930197.49</v>
      </c>
      <c r="G464" s="18"/>
      <c r="H464" s="18"/>
      <c r="I464" s="18"/>
      <c r="J464" s="18">
        <v>266506.53999999998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25695526.530000001</v>
      </c>
      <c r="G467" s="18">
        <v>614943.78</v>
      </c>
      <c r="H467" s="18">
        <v>486477.44</v>
      </c>
      <c r="I467" s="18"/>
      <c r="J467" s="18">
        <v>123239.89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25695526.530000001</v>
      </c>
      <c r="G469" s="53">
        <f>SUM(G467:G468)</f>
        <v>614943.78</v>
      </c>
      <c r="H469" s="53">
        <f>SUM(H467:H468)</f>
        <v>486477.44</v>
      </c>
      <c r="I469" s="53">
        <f>SUM(I467:I468)</f>
        <v>0</v>
      </c>
      <c r="J469" s="53">
        <f>SUM(J467:J468)</f>
        <v>123239.89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25683130.34</v>
      </c>
      <c r="G471" s="18">
        <v>614943.78</v>
      </c>
      <c r="H471" s="18">
        <v>486477.44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25683130.34</v>
      </c>
      <c r="G473" s="53">
        <f>SUM(G471:G472)</f>
        <v>614943.78</v>
      </c>
      <c r="H473" s="53">
        <f>SUM(H471:H472)</f>
        <v>486477.44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942593.6799999997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389746.43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30732213.059999999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4.51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11365000</v>
      </c>
      <c r="G494" s="18"/>
      <c r="H494" s="18"/>
      <c r="I494" s="18"/>
      <c r="J494" s="18"/>
      <c r="K494" s="53">
        <f>SUM(F494:J494)</f>
        <v>11365000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1555122.5</v>
      </c>
      <c r="G496" s="18"/>
      <c r="H496" s="18"/>
      <c r="I496" s="18"/>
      <c r="J496" s="18"/>
      <c r="K496" s="53">
        <f t="shared" si="35"/>
        <v>1555122.5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10330000</v>
      </c>
      <c r="G497" s="204"/>
      <c r="H497" s="204"/>
      <c r="I497" s="204"/>
      <c r="J497" s="204"/>
      <c r="K497" s="205">
        <f t="shared" si="35"/>
        <v>10330000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2556212.5</v>
      </c>
      <c r="G498" s="18"/>
      <c r="H498" s="18"/>
      <c r="I498" s="18"/>
      <c r="J498" s="18"/>
      <c r="K498" s="53">
        <f t="shared" si="35"/>
        <v>2556212.5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12886212.5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12886212.5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1035000</v>
      </c>
      <c r="G500" s="204"/>
      <c r="H500" s="204"/>
      <c r="I500" s="204"/>
      <c r="J500" s="204"/>
      <c r="K500" s="205">
        <f t="shared" si="35"/>
        <v>1035000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476652.5</v>
      </c>
      <c r="G501" s="18"/>
      <c r="H501" s="18"/>
      <c r="I501" s="18"/>
      <c r="J501" s="18"/>
      <c r="K501" s="53">
        <f t="shared" si="35"/>
        <v>476652.5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1511652.5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1511652.5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80598.24+4389+534842+44096.88+80771.87</f>
        <v>744697.99</v>
      </c>
      <c r="G520" s="18">
        <f>11073.82+335.76+246258.62+5181.92+40070.9</f>
        <v>302921.02</v>
      </c>
      <c r="H520" s="18">
        <f>15105.15+15785+6375.8+100607.41</f>
        <v>137873.36000000002</v>
      </c>
      <c r="I520" s="18">
        <f>182.21+1164.87+265.75</f>
        <v>1612.83</v>
      </c>
      <c r="J520" s="18">
        <f>1743.34+3151.98+206.3</f>
        <v>5101.62</v>
      </c>
      <c r="K520" s="18">
        <f>1720</f>
        <v>1720</v>
      </c>
      <c r="L520" s="88">
        <f>SUM(F520:K520)</f>
        <v>1193926.8200000003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39697.64+354347.64+8594.89+44019</f>
        <v>446659.17000000004</v>
      </c>
      <c r="G521" s="18">
        <f>5454.26+235478.89+1033.51+8567.32</f>
        <v>250533.98000000004</v>
      </c>
      <c r="H521" s="18">
        <f>7439.85+7576.8+679.75</f>
        <v>15696.400000000001</v>
      </c>
      <c r="I521" s="18">
        <f>89.74+3031.46+248.44</f>
        <v>3369.64</v>
      </c>
      <c r="J521" s="18">
        <f>858.66+921</f>
        <v>1779.6599999999999</v>
      </c>
      <c r="K521" s="18"/>
      <c r="L521" s="88">
        <f>SUM(F521:K521)</f>
        <v>718038.85000000021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187045.22</f>
        <v>187045.22</v>
      </c>
      <c r="G522" s="18">
        <f>108747.63</f>
        <v>108747.63</v>
      </c>
      <c r="H522" s="18">
        <f>8208.2+2114603.4</f>
        <v>2122811.6</v>
      </c>
      <c r="I522" s="18"/>
      <c r="J522" s="18"/>
      <c r="K522" s="18"/>
      <c r="L522" s="88">
        <f>SUM(F522:K522)</f>
        <v>2418604.4500000002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1378402.3800000001</v>
      </c>
      <c r="G523" s="108">
        <f t="shared" ref="G523:L523" si="36">SUM(G520:G522)</f>
        <v>662202.63</v>
      </c>
      <c r="H523" s="108">
        <f t="shared" si="36"/>
        <v>2276381.3600000003</v>
      </c>
      <c r="I523" s="108">
        <f t="shared" si="36"/>
        <v>4982.4699999999993</v>
      </c>
      <c r="J523" s="108">
        <f t="shared" si="36"/>
        <v>6881.28</v>
      </c>
      <c r="K523" s="108">
        <f t="shared" si="36"/>
        <v>1720</v>
      </c>
      <c r="L523" s="89">
        <f t="shared" si="36"/>
        <v>4330570.120000001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37060.61+32249.04+179992.01</f>
        <v>249301.66</v>
      </c>
      <c r="G525" s="18">
        <f>6307+1914.5+10772.59+89046.54</f>
        <v>108040.62999999999</v>
      </c>
      <c r="H525" s="18">
        <f>12188.19+17085+23790.86+47301.12+34927.5+26534.96+2660.19</f>
        <v>164487.82</v>
      </c>
      <c r="I525" s="18">
        <f>1528.91+2540</f>
        <v>4068.91</v>
      </c>
      <c r="J525" s="18"/>
      <c r="K525" s="18"/>
      <c r="L525" s="88">
        <f>SUM(F525:K525)</f>
        <v>525899.02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18253.73+15479.54+69915+53885.6</f>
        <v>157533.87</v>
      </c>
      <c r="G526" s="18">
        <f>3106.43+918.96+5170.84+35045.31+14342.29</f>
        <v>58583.829999999994</v>
      </c>
      <c r="H526" s="18">
        <f>6003.13+8415+11717.89+22704.53+16765.2+995.54+12736.78+1743.9</f>
        <v>81081.969999999987</v>
      </c>
      <c r="I526" s="18">
        <f>243.26+279.16</f>
        <v>522.42000000000007</v>
      </c>
      <c r="J526" s="18"/>
      <c r="K526" s="18"/>
      <c r="L526" s="88">
        <f>SUM(F526:K526)</f>
        <v>297722.08999999997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16769.5</f>
        <v>16769.5</v>
      </c>
      <c r="G527" s="18">
        <f>5601.74</f>
        <v>5601.74</v>
      </c>
      <c r="H527" s="18">
        <f>24596.56+18162.3+13798.17</f>
        <v>56557.03</v>
      </c>
      <c r="I527" s="18"/>
      <c r="J527" s="18"/>
      <c r="K527" s="18"/>
      <c r="L527" s="88">
        <f>SUM(F527:K527)</f>
        <v>78928.26999999999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423605.03</v>
      </c>
      <c r="G528" s="89">
        <f t="shared" ref="G528:L528" si="37">SUM(G525:G527)</f>
        <v>172226.19999999998</v>
      </c>
      <c r="H528" s="89">
        <f t="shared" si="37"/>
        <v>302126.81999999995</v>
      </c>
      <c r="I528" s="89">
        <f t="shared" si="37"/>
        <v>4591.33</v>
      </c>
      <c r="J528" s="89">
        <f t="shared" si="37"/>
        <v>0</v>
      </c>
      <c r="K528" s="89">
        <f t="shared" si="37"/>
        <v>0</v>
      </c>
      <c r="L528" s="89">
        <f t="shared" si="37"/>
        <v>902549.38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82866.8</f>
        <v>82866.8</v>
      </c>
      <c r="G530" s="18">
        <f>43238.2</f>
        <v>43238.2</v>
      </c>
      <c r="H530" s="18">
        <f>1755.64+1828.23+559+237.85</f>
        <v>4380.72</v>
      </c>
      <c r="I530" s="18">
        <f>1036.65</f>
        <v>1036.6500000000001</v>
      </c>
      <c r="J530" s="18">
        <f>221.5</f>
        <v>221.5</v>
      </c>
      <c r="K530" s="18"/>
      <c r="L530" s="88">
        <f>SUM(F530:K530)</f>
        <v>131743.87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39776.06</f>
        <v>39776.06</v>
      </c>
      <c r="G531" s="18">
        <v>20754.32</v>
      </c>
      <c r="H531" s="18">
        <f>842.71+877.55</f>
        <v>1720.26</v>
      </c>
      <c r="I531" s="18">
        <f>497.59</f>
        <v>497.59</v>
      </c>
      <c r="J531" s="18">
        <f>106.32</f>
        <v>106.32</v>
      </c>
      <c r="K531" s="18"/>
      <c r="L531" s="88">
        <f>SUM(F531:K531)</f>
        <v>62854.549999999996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43090.72</f>
        <v>43090.720000000001</v>
      </c>
      <c r="G532" s="18">
        <v>22483.83</v>
      </c>
      <c r="H532" s="18">
        <f>912.93+950.67</f>
        <v>1863.6</v>
      </c>
      <c r="I532" s="18">
        <f>539.06</f>
        <v>539.05999999999995</v>
      </c>
      <c r="J532" s="18">
        <f>115.18</f>
        <v>115.18</v>
      </c>
      <c r="K532" s="18"/>
      <c r="L532" s="88">
        <f>SUM(F532:K532)</f>
        <v>68092.39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165733.58000000002</v>
      </c>
      <c r="G533" s="89">
        <f t="shared" ref="G533:L533" si="38">SUM(G530:G532)</f>
        <v>86476.35</v>
      </c>
      <c r="H533" s="89">
        <f t="shared" si="38"/>
        <v>7964.58</v>
      </c>
      <c r="I533" s="89">
        <f t="shared" si="38"/>
        <v>2073.3000000000002</v>
      </c>
      <c r="J533" s="89">
        <f t="shared" si="38"/>
        <v>443</v>
      </c>
      <c r="K533" s="89">
        <f t="shared" si="38"/>
        <v>0</v>
      </c>
      <c r="L533" s="89">
        <f t="shared" si="38"/>
        <v>262690.81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49693.83</v>
      </c>
      <c r="I535" s="18"/>
      <c r="J535" s="18"/>
      <c r="K535" s="18"/>
      <c r="L535" s="88">
        <f>SUM(F535:K535)</f>
        <v>49693.83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24476.06</v>
      </c>
      <c r="I536" s="18"/>
      <c r="J536" s="18"/>
      <c r="K536" s="18"/>
      <c r="L536" s="88">
        <f>SUM(F536:K536)</f>
        <v>24476.06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74169.89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74169.89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138649.63</v>
      </c>
      <c r="I540" s="18"/>
      <c r="J540" s="18"/>
      <c r="K540" s="18"/>
      <c r="L540" s="88">
        <f>SUM(F540:K540)</f>
        <v>138649.63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66551.820000000007</v>
      </c>
      <c r="I541" s="18"/>
      <c r="J541" s="18"/>
      <c r="K541" s="18"/>
      <c r="L541" s="88">
        <f>SUM(F541:K541)</f>
        <v>66551.820000000007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72097.820000000007</v>
      </c>
      <c r="I542" s="18"/>
      <c r="J542" s="18"/>
      <c r="K542" s="18"/>
      <c r="L542" s="88">
        <f>SUM(F542:K542)</f>
        <v>72097.820000000007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277299.27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277299.27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1967740.9900000002</v>
      </c>
      <c r="G544" s="89">
        <f t="shared" ref="G544:L544" si="41">G523+G528+G533+G538+G543</f>
        <v>920905.17999999993</v>
      </c>
      <c r="H544" s="89">
        <f t="shared" si="41"/>
        <v>2937941.9200000004</v>
      </c>
      <c r="I544" s="89">
        <f t="shared" si="41"/>
        <v>11647.099999999999</v>
      </c>
      <c r="J544" s="89">
        <f t="shared" si="41"/>
        <v>7324.28</v>
      </c>
      <c r="K544" s="89">
        <f t="shared" si="41"/>
        <v>1720</v>
      </c>
      <c r="L544" s="89">
        <f t="shared" si="41"/>
        <v>5847279.4700000007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1193926.8200000003</v>
      </c>
      <c r="G548" s="87">
        <f>L525</f>
        <v>525899.02</v>
      </c>
      <c r="H548" s="87">
        <f>L530</f>
        <v>131743.87</v>
      </c>
      <c r="I548" s="87">
        <f>L535</f>
        <v>49693.83</v>
      </c>
      <c r="J548" s="87">
        <f>L540</f>
        <v>138649.63</v>
      </c>
      <c r="K548" s="87">
        <f>SUM(F548:J548)</f>
        <v>2039913.1700000004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718038.85000000021</v>
      </c>
      <c r="G549" s="87">
        <f>L526</f>
        <v>297722.08999999997</v>
      </c>
      <c r="H549" s="87">
        <f>L531</f>
        <v>62854.549999999996</v>
      </c>
      <c r="I549" s="87">
        <f>L536</f>
        <v>24476.06</v>
      </c>
      <c r="J549" s="87">
        <f>L541</f>
        <v>66551.820000000007</v>
      </c>
      <c r="K549" s="87">
        <f>SUM(F549:J549)</f>
        <v>1169643.3700000003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2418604.4500000002</v>
      </c>
      <c r="G550" s="87">
        <f>L527</f>
        <v>78928.26999999999</v>
      </c>
      <c r="H550" s="87">
        <f>L532</f>
        <v>68092.39</v>
      </c>
      <c r="I550" s="87">
        <f>L537</f>
        <v>0</v>
      </c>
      <c r="J550" s="87">
        <f>L542</f>
        <v>72097.820000000007</v>
      </c>
      <c r="K550" s="87">
        <f>SUM(F550:J550)</f>
        <v>2637722.9300000002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4330570.120000001</v>
      </c>
      <c r="G551" s="89">
        <f t="shared" si="42"/>
        <v>902549.38</v>
      </c>
      <c r="H551" s="89">
        <f t="shared" si="42"/>
        <v>262690.81</v>
      </c>
      <c r="I551" s="89">
        <f t="shared" si="42"/>
        <v>74169.89</v>
      </c>
      <c r="J551" s="89">
        <f t="shared" si="42"/>
        <v>277299.27</v>
      </c>
      <c r="K551" s="89">
        <f t="shared" si="42"/>
        <v>5847279.4700000007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f>80771.87</f>
        <v>80771.87</v>
      </c>
      <c r="G561" s="18">
        <f>40070.9</f>
        <v>40070.9</v>
      </c>
      <c r="H561" s="18">
        <f>291.45</f>
        <v>291.45</v>
      </c>
      <c r="I561" s="18">
        <f>265.75</f>
        <v>265.75</v>
      </c>
      <c r="J561" s="18">
        <f>206.3</f>
        <v>206.3</v>
      </c>
      <c r="K561" s="18"/>
      <c r="L561" s="88">
        <f>SUM(F561:K561)</f>
        <v>121606.26999999999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f>44019</f>
        <v>44019</v>
      </c>
      <c r="G562" s="18">
        <f>8567.32</f>
        <v>8567.32</v>
      </c>
      <c r="H562" s="18">
        <f>143.55</f>
        <v>143.55000000000001</v>
      </c>
      <c r="I562" s="18">
        <f>248.44</f>
        <v>248.44</v>
      </c>
      <c r="J562" s="18"/>
      <c r="K562" s="18"/>
      <c r="L562" s="88">
        <f>SUM(F562:K562)</f>
        <v>52978.310000000005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124790.87</v>
      </c>
      <c r="G564" s="89">
        <f t="shared" si="44"/>
        <v>48638.22</v>
      </c>
      <c r="H564" s="89">
        <f t="shared" si="44"/>
        <v>435</v>
      </c>
      <c r="I564" s="89">
        <f t="shared" si="44"/>
        <v>514.19000000000005</v>
      </c>
      <c r="J564" s="89">
        <f t="shared" si="44"/>
        <v>206.3</v>
      </c>
      <c r="K564" s="89">
        <f t="shared" si="44"/>
        <v>0</v>
      </c>
      <c r="L564" s="89">
        <f t="shared" si="44"/>
        <v>174584.58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f>57456.42</f>
        <v>57456.42</v>
      </c>
      <c r="G566" s="18">
        <f>32583.89</f>
        <v>32583.89</v>
      </c>
      <c r="H566" s="18"/>
      <c r="I566" s="18">
        <f>737.6</f>
        <v>737.6</v>
      </c>
      <c r="J566" s="18">
        <f>858</f>
        <v>858</v>
      </c>
      <c r="K566" s="18"/>
      <c r="L566" s="88">
        <f>SUM(F566:K566)</f>
        <v>91635.91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f>53068</f>
        <v>53068</v>
      </c>
      <c r="G567" s="18">
        <f>31748.33</f>
        <v>31748.33</v>
      </c>
      <c r="H567" s="18"/>
      <c r="I567" s="18">
        <v>573.51</v>
      </c>
      <c r="J567" s="18"/>
      <c r="K567" s="18"/>
      <c r="L567" s="88">
        <f>SUM(F567:K567)</f>
        <v>85389.84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110524.42</v>
      </c>
      <c r="G569" s="193">
        <f t="shared" ref="G569:L569" si="45">SUM(G566:G568)</f>
        <v>64332.22</v>
      </c>
      <c r="H569" s="193">
        <f t="shared" si="45"/>
        <v>0</v>
      </c>
      <c r="I569" s="193">
        <f t="shared" si="45"/>
        <v>1311.1100000000001</v>
      </c>
      <c r="J569" s="193">
        <f t="shared" si="45"/>
        <v>858</v>
      </c>
      <c r="K569" s="193">
        <f t="shared" si="45"/>
        <v>0</v>
      </c>
      <c r="L569" s="193">
        <f t="shared" si="45"/>
        <v>177025.75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235315.28999999998</v>
      </c>
      <c r="G570" s="89">
        <f t="shared" ref="G570:L570" si="46">G559+G564+G569</f>
        <v>112970.44</v>
      </c>
      <c r="H570" s="89">
        <f t="shared" si="46"/>
        <v>435</v>
      </c>
      <c r="I570" s="89">
        <f t="shared" si="46"/>
        <v>1825.3000000000002</v>
      </c>
      <c r="J570" s="89">
        <f t="shared" si="46"/>
        <v>1064.3</v>
      </c>
      <c r="K570" s="89">
        <f t="shared" si="46"/>
        <v>0</v>
      </c>
      <c r="L570" s="89">
        <f t="shared" si="46"/>
        <v>351610.32999999996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5139020.2699999996</v>
      </c>
      <c r="I574" s="87">
        <f>SUM(F574:H574)</f>
        <v>5139020.2699999996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90792.78</v>
      </c>
      <c r="I576" s="87">
        <f t="shared" si="47"/>
        <v>90792.78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6375.8</f>
        <v>6375.8</v>
      </c>
      <c r="G578" s="18"/>
      <c r="H578" s="18">
        <v>1458120.22</v>
      </c>
      <c r="I578" s="87">
        <f t="shared" si="47"/>
        <v>1464496.02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75142.2</v>
      </c>
      <c r="I579" s="87">
        <f t="shared" si="47"/>
        <v>75142.2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100607.41</v>
      </c>
      <c r="G581" s="18"/>
      <c r="H581" s="18">
        <v>581340.98</v>
      </c>
      <c r="I581" s="87">
        <f t="shared" si="47"/>
        <v>681948.39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344839.02</v>
      </c>
      <c r="I590" s="18">
        <v>168587.97</v>
      </c>
      <c r="J590" s="18">
        <v>252881.95</v>
      </c>
      <c r="K590" s="104">
        <f t="shared" ref="K590:K596" si="48">SUM(H590:J590)</f>
        <v>766308.94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138649.63</v>
      </c>
      <c r="I591" s="18">
        <v>66551.820000000007</v>
      </c>
      <c r="J591" s="18">
        <v>72097.820000000007</v>
      </c>
      <c r="K591" s="104">
        <f t="shared" si="48"/>
        <v>277299.27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12173.7</v>
      </c>
      <c r="J593" s="18"/>
      <c r="K593" s="104">
        <f t="shared" si="48"/>
        <v>12173.7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2457.7+5491.1</f>
        <v>7948.8</v>
      </c>
      <c r="I594" s="18">
        <v>5640</v>
      </c>
      <c r="J594" s="18"/>
      <c r="K594" s="104">
        <f t="shared" si="48"/>
        <v>13588.8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491437.45</v>
      </c>
      <c r="I597" s="108">
        <f>SUM(I590:I596)</f>
        <v>252953.49000000002</v>
      </c>
      <c r="J597" s="108">
        <f>SUM(J590:J596)</f>
        <v>324979.77</v>
      </c>
      <c r="K597" s="108">
        <f>SUM(K590:K596)</f>
        <v>1069370.71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85252.66</v>
      </c>
      <c r="I603" s="18">
        <v>29641.98</v>
      </c>
      <c r="J603" s="18"/>
      <c r="K603" s="104">
        <f>SUM(H603:J603)</f>
        <v>114894.64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85252.66</v>
      </c>
      <c r="I604" s="108">
        <f>SUM(I601:I603)</f>
        <v>29641.98</v>
      </c>
      <c r="J604" s="108">
        <f>SUM(J601:J603)</f>
        <v>0</v>
      </c>
      <c r="K604" s="108">
        <f>SUM(K601:K603)</f>
        <v>114894.64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44096.88+3600+4587.83</f>
        <v>52284.71</v>
      </c>
      <c r="G610" s="18">
        <f>5181.92+682.23+351+104.65</f>
        <v>6319.7999999999993</v>
      </c>
      <c r="H610" s="18">
        <f>20860.45</f>
        <v>20860.45</v>
      </c>
      <c r="I610" s="18"/>
      <c r="J610" s="18"/>
      <c r="K610" s="18"/>
      <c r="L610" s="88">
        <f>SUM(F610:K610)</f>
        <v>79464.959999999992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8594.89+6660+2259.67</f>
        <v>17514.559999999998</v>
      </c>
      <c r="G611" s="18">
        <f>1033.51+1262.09+172.88+51.55</f>
        <v>2520.0300000000002</v>
      </c>
      <c r="H611" s="18">
        <f>10274.55</f>
        <v>10274.549999999999</v>
      </c>
      <c r="I611" s="18">
        <f>2257.7</f>
        <v>2257.6999999999998</v>
      </c>
      <c r="J611" s="18"/>
      <c r="K611" s="18"/>
      <c r="L611" s="88">
        <f>SUM(F611:K611)</f>
        <v>32566.839999999997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69799.26999999999</v>
      </c>
      <c r="G613" s="108">
        <f t="shared" si="49"/>
        <v>8839.83</v>
      </c>
      <c r="H613" s="108">
        <f t="shared" si="49"/>
        <v>31135</v>
      </c>
      <c r="I613" s="108">
        <f t="shared" si="49"/>
        <v>2257.6999999999998</v>
      </c>
      <c r="J613" s="108">
        <f t="shared" si="49"/>
        <v>0</v>
      </c>
      <c r="K613" s="108">
        <f t="shared" si="49"/>
        <v>0</v>
      </c>
      <c r="L613" s="89">
        <f t="shared" si="49"/>
        <v>112031.79999999999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1298901.9099999999</v>
      </c>
      <c r="H616" s="109">
        <f>SUM(F51)</f>
        <v>1298901.9099999999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32062.49</v>
      </c>
      <c r="H617" s="109">
        <f>SUM(G51)</f>
        <v>32062.489999999998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159921</v>
      </c>
      <c r="H618" s="109">
        <f>SUM(H51)</f>
        <v>159921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389746.43</v>
      </c>
      <c r="H620" s="109">
        <f>SUM(J51)</f>
        <v>389746.43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942593.67999999993</v>
      </c>
      <c r="H621" s="109">
        <f>F475</f>
        <v>942593.6799999997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389746.43</v>
      </c>
      <c r="H625" s="109">
        <f>J475</f>
        <v>389746.43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25695526.530000001</v>
      </c>
      <c r="H626" s="104">
        <f>SUM(F467)</f>
        <v>25695526.530000001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614943.78</v>
      </c>
      <c r="H627" s="104">
        <f>SUM(G467)</f>
        <v>614943.78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486477.44</v>
      </c>
      <c r="H628" s="104">
        <f>SUM(H467)</f>
        <v>486477.44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123239.89</v>
      </c>
      <c r="H630" s="104">
        <f>SUM(J467)</f>
        <v>123239.89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25683130.34</v>
      </c>
      <c r="H631" s="104">
        <f>SUM(F471)</f>
        <v>25683130.34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486477.43999999994</v>
      </c>
      <c r="H632" s="104">
        <f>SUM(H471)</f>
        <v>486477.44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229958.18</v>
      </c>
      <c r="H633" s="104">
        <f>I368</f>
        <v>229958.18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614943.78</v>
      </c>
      <c r="H634" s="104">
        <f>SUM(G471)</f>
        <v>614943.78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123239.89</v>
      </c>
      <c r="H636" s="164">
        <f>SUM(J467)</f>
        <v>123239.89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113731.48</v>
      </c>
      <c r="H638" s="104">
        <f>SUM(F460)</f>
        <v>113731.48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276014.95</v>
      </c>
      <c r="H639" s="104">
        <f>SUM(G460)</f>
        <v>276014.95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389746.43</v>
      </c>
      <c r="H641" s="104">
        <f>SUM(I460)</f>
        <v>389746.43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3239.89</v>
      </c>
      <c r="H643" s="104">
        <f>H407</f>
        <v>3239.89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120000</v>
      </c>
      <c r="H644" s="104">
        <f>G407</f>
        <v>120000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123239.89</v>
      </c>
      <c r="H645" s="104">
        <f>L407</f>
        <v>123239.89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1069370.71</v>
      </c>
      <c r="H646" s="104">
        <f>L207+L225+L243</f>
        <v>1069370.71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114894.64</v>
      </c>
      <c r="H647" s="104">
        <f>(J256+J337)-(J254+J335)</f>
        <v>114894.63999999998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491437.45</v>
      </c>
      <c r="H648" s="104">
        <f>H597</f>
        <v>491437.45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252953.49000000002</v>
      </c>
      <c r="H649" s="104">
        <f>I597</f>
        <v>252953.49000000002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324979.77</v>
      </c>
      <c r="H650" s="104">
        <f>J597</f>
        <v>324979.77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128276.12</v>
      </c>
      <c r="H651" s="104">
        <f>K262+K344</f>
        <v>128276.12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120000</v>
      </c>
      <c r="H654" s="104">
        <f>K265+K346</f>
        <v>120000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10679636.429999998</v>
      </c>
      <c r="G659" s="19">
        <f>(L228+L308+L358)</f>
        <v>6200492.3900000015</v>
      </c>
      <c r="H659" s="19">
        <f>(L246+L327+L359)</f>
        <v>8087164.1199999992</v>
      </c>
      <c r="I659" s="19">
        <f>SUM(F659:H659)</f>
        <v>24967292.939999998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211851.20300989662</v>
      </c>
      <c r="G660" s="19">
        <f>(L358/IF(SUM(L357:L359)=0,1,SUM(L357:L359))*(SUM(G96:G109)))</f>
        <v>96968.586990103402</v>
      </c>
      <c r="H660" s="19">
        <f>(L359/IF(SUM(L357:L359)=0,1,SUM(L357:L359))*(SUM(G96:G109)))</f>
        <v>0</v>
      </c>
      <c r="I660" s="19">
        <f>SUM(F660:H660)</f>
        <v>308819.79000000004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491437.45</v>
      </c>
      <c r="G661" s="19">
        <f>(L225+L305)-(J225+J305)</f>
        <v>252953.49000000002</v>
      </c>
      <c r="H661" s="19">
        <f>(L243+L324)-(J243+J324)</f>
        <v>324979.77</v>
      </c>
      <c r="I661" s="19">
        <f>SUM(F661:H661)</f>
        <v>1069370.71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271700.82999999996</v>
      </c>
      <c r="G662" s="199">
        <f>SUM(G574:G586)+SUM(I601:I603)+L611</f>
        <v>62208.819999999992</v>
      </c>
      <c r="H662" s="199">
        <f>SUM(H574:H586)+SUM(J601:J603)+L612</f>
        <v>7344416.4499999993</v>
      </c>
      <c r="I662" s="19">
        <f>SUM(F662:H662)</f>
        <v>7678326.0999999996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9704646.9469901007</v>
      </c>
      <c r="G663" s="19">
        <f>G659-SUM(G660:G662)</f>
        <v>5788361.4930098979</v>
      </c>
      <c r="H663" s="19">
        <f>H659-SUM(H660:H662)</f>
        <v>417767.90000000037</v>
      </c>
      <c r="I663" s="19">
        <f>I659-SUM(I660:I662)</f>
        <v>15910776.339999998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876.83</v>
      </c>
      <c r="G664" s="248">
        <v>477.44</v>
      </c>
      <c r="H664" s="248"/>
      <c r="I664" s="19">
        <f>SUM(F664:H664)</f>
        <v>1354.27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11067.88</v>
      </c>
      <c r="G666" s="19">
        <f>ROUND(G663/G664,2)</f>
        <v>12123.75</v>
      </c>
      <c r="H666" s="19" t="e">
        <f>ROUND(H663/H664,2)</f>
        <v>#DIV/0!</v>
      </c>
      <c r="I666" s="19">
        <f>ROUND(I663/I664,2)</f>
        <v>11748.6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-417767.9</v>
      </c>
      <c r="I668" s="19">
        <f>SUM(F668:H668)</f>
        <v>-417767.9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11067.88</v>
      </c>
      <c r="G671" s="19">
        <f>ROUND((G663+G668)/(G664+G669),2)</f>
        <v>12123.75</v>
      </c>
      <c r="H671" s="19" t="e">
        <f>ROUND((H663+H668)/(H664+H669),2)</f>
        <v>#DIV/0!</v>
      </c>
      <c r="I671" s="19">
        <f>ROUND((I663+I668)/(I664+I669),2)</f>
        <v>11440.12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9" sqref="B39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Hooksett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80" t="s">
        <v>784</v>
      </c>
      <c r="B3" s="280"/>
      <c r="C3" s="280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783</v>
      </c>
      <c r="C6" s="279"/>
    </row>
    <row r="7" spans="1:3" x14ac:dyDescent="0.2">
      <c r="A7" s="239" t="s">
        <v>786</v>
      </c>
      <c r="B7" s="277" t="s">
        <v>782</v>
      </c>
      <c r="C7" s="278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5020529.04</v>
      </c>
      <c r="C9" s="229">
        <f>'DOE25'!G196+'DOE25'!G214+'DOE25'!G232+'DOE25'!G275+'DOE25'!G294+'DOE25'!G313</f>
        <v>2431954.0500000003</v>
      </c>
    </row>
    <row r="10" spans="1:3" x14ac:dyDescent="0.2">
      <c r="A10" t="s">
        <v>779</v>
      </c>
      <c r="B10" s="274">
        <v>4587952.4400000004</v>
      </c>
      <c r="C10" s="274">
        <v>2204036.54</v>
      </c>
    </row>
    <row r="11" spans="1:3" x14ac:dyDescent="0.2">
      <c r="A11" t="s">
        <v>780</v>
      </c>
      <c r="B11" s="274">
        <v>176742.84</v>
      </c>
      <c r="C11" s="274">
        <v>168457.33</v>
      </c>
    </row>
    <row r="12" spans="1:3" x14ac:dyDescent="0.2">
      <c r="A12" t="s">
        <v>781</v>
      </c>
      <c r="B12" s="274">
        <v>255833.76</v>
      </c>
      <c r="C12" s="274">
        <v>59460.18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5020529.04</v>
      </c>
      <c r="C13" s="231">
        <f>SUM(C10:C12)</f>
        <v>2431954.0500000003</v>
      </c>
    </row>
    <row r="14" spans="1:3" x14ac:dyDescent="0.2">
      <c r="B14" s="230"/>
      <c r="C14" s="230"/>
    </row>
    <row r="15" spans="1:3" x14ac:dyDescent="0.2">
      <c r="B15" s="279" t="s">
        <v>783</v>
      </c>
      <c r="C15" s="279"/>
    </row>
    <row r="16" spans="1:3" x14ac:dyDescent="0.2">
      <c r="A16" s="239" t="s">
        <v>787</v>
      </c>
      <c r="B16" s="277" t="s">
        <v>707</v>
      </c>
      <c r="C16" s="278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1654660.3800000001</v>
      </c>
      <c r="C18" s="229">
        <f>'DOE25'!G197+'DOE25'!G215+'DOE25'!G233+'DOE25'!G276+'DOE25'!G295+'DOE25'!G314</f>
        <v>813011.20000000007</v>
      </c>
    </row>
    <row r="19" spans="1:3" x14ac:dyDescent="0.2">
      <c r="A19" t="s">
        <v>779</v>
      </c>
      <c r="B19" s="275">
        <v>720595.68</v>
      </c>
      <c r="C19" s="275">
        <v>383697.27</v>
      </c>
    </row>
    <row r="20" spans="1:3" x14ac:dyDescent="0.2">
      <c r="A20" t="s">
        <v>780</v>
      </c>
      <c r="B20" s="275">
        <v>667653.79</v>
      </c>
      <c r="C20" s="275">
        <v>348448.49</v>
      </c>
    </row>
    <row r="21" spans="1:3" x14ac:dyDescent="0.2">
      <c r="A21" t="s">
        <v>781</v>
      </c>
      <c r="B21" s="275">
        <v>266410.90999999997</v>
      </c>
      <c r="C21" s="275">
        <v>80865.440000000002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1654660.3800000001</v>
      </c>
      <c r="C22" s="231">
        <f>SUM(C19:C21)</f>
        <v>813011.2</v>
      </c>
    </row>
    <row r="23" spans="1:3" x14ac:dyDescent="0.2">
      <c r="B23" s="230"/>
      <c r="C23" s="230"/>
    </row>
    <row r="24" spans="1:3" x14ac:dyDescent="0.2">
      <c r="B24" s="279" t="s">
        <v>783</v>
      </c>
      <c r="C24" s="279"/>
    </row>
    <row r="25" spans="1:3" x14ac:dyDescent="0.2">
      <c r="A25" s="239" t="s">
        <v>788</v>
      </c>
      <c r="B25" s="277" t="s">
        <v>708</v>
      </c>
      <c r="C25" s="278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783</v>
      </c>
      <c r="C33" s="279"/>
    </row>
    <row r="34" spans="1:3" x14ac:dyDescent="0.2">
      <c r="A34" s="239" t="s">
        <v>789</v>
      </c>
      <c r="B34" s="277" t="s">
        <v>709</v>
      </c>
      <c r="C34" s="278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68585.2</v>
      </c>
      <c r="C36" s="235">
        <f>'DOE25'!G199+'DOE25'!G217+'DOE25'!G235+'DOE25'!G278+'DOE25'!G297+'DOE25'!G316</f>
        <v>11419.380000000001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76">
        <v>68585.2</v>
      </c>
      <c r="C39" s="276">
        <v>11419.38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68585.2</v>
      </c>
      <c r="C40" s="231">
        <f>SUM(C37:C39)</f>
        <v>11419.38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790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717</v>
      </c>
      <c r="B2" s="265" t="str">
        <f>'DOE25'!A2</f>
        <v>Hooksett School District</v>
      </c>
      <c r="C2" s="181"/>
      <c r="D2" s="181" t="s">
        <v>792</v>
      </c>
      <c r="E2" s="181" t="s">
        <v>794</v>
      </c>
      <c r="F2" s="281" t="s">
        <v>821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17654847.719999999</v>
      </c>
      <c r="D5" s="20">
        <f>SUM('DOE25'!L196:L199)+SUM('DOE25'!L214:L217)+SUM('DOE25'!L232:L235)-F5-G5</f>
        <v>17625249.84</v>
      </c>
      <c r="E5" s="243"/>
      <c r="F5" s="255">
        <f>SUM('DOE25'!J196:J199)+SUM('DOE25'!J214:J217)+SUM('DOE25'!J232:J235)</f>
        <v>21125.230000000003</v>
      </c>
      <c r="G5" s="53">
        <f>SUM('DOE25'!K196:K199)+SUM('DOE25'!K214:K217)+SUM('DOE25'!K232:K235)</f>
        <v>8472.65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1220836.4099999999</v>
      </c>
      <c r="D6" s="20">
        <f>'DOE25'!L201+'DOE25'!L219+'DOE25'!L237-F6-G6</f>
        <v>1214125.72</v>
      </c>
      <c r="E6" s="243"/>
      <c r="F6" s="255">
        <f>'DOE25'!J201+'DOE25'!J219+'DOE25'!J237</f>
        <v>1555.49</v>
      </c>
      <c r="G6" s="53">
        <f>'DOE25'!K201+'DOE25'!K219+'DOE25'!K237</f>
        <v>5155.2</v>
      </c>
      <c r="H6" s="259"/>
    </row>
    <row r="7" spans="1:9" x14ac:dyDescent="0.2">
      <c r="A7" s="32">
        <v>2200</v>
      </c>
      <c r="B7" t="s">
        <v>834</v>
      </c>
      <c r="C7" s="245">
        <f t="shared" si="0"/>
        <v>442550.44999999995</v>
      </c>
      <c r="D7" s="20">
        <f>'DOE25'!L202+'DOE25'!L220+'DOE25'!L238-F7-G7</f>
        <v>420455.1</v>
      </c>
      <c r="E7" s="243"/>
      <c r="F7" s="255">
        <f>'DOE25'!J202+'DOE25'!J220+'DOE25'!J238</f>
        <v>21549.35</v>
      </c>
      <c r="G7" s="53">
        <f>'DOE25'!K202+'DOE25'!K220+'DOE25'!K238</f>
        <v>546</v>
      </c>
      <c r="H7" s="259"/>
    </row>
    <row r="8" spans="1:9" x14ac:dyDescent="0.2">
      <c r="A8" s="32">
        <v>2300</v>
      </c>
      <c r="B8" t="s">
        <v>802</v>
      </c>
      <c r="C8" s="245">
        <f t="shared" si="0"/>
        <v>435823.6700000001</v>
      </c>
      <c r="D8" s="243"/>
      <c r="E8" s="20">
        <f>'DOE25'!L203+'DOE25'!L221+'DOE25'!L239-F8-G8-D9-D11</f>
        <v>422753.88000000006</v>
      </c>
      <c r="F8" s="255">
        <f>'DOE25'!J203+'DOE25'!J221+'DOE25'!J239</f>
        <v>1768.09</v>
      </c>
      <c r="G8" s="53">
        <f>'DOE25'!K203+'DOE25'!K221+'DOE25'!K239</f>
        <v>11301.7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132278.5</v>
      </c>
      <c r="D9" s="244">
        <v>132278.5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15725</v>
      </c>
      <c r="D10" s="243"/>
      <c r="E10" s="244">
        <v>15725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106754.33</v>
      </c>
      <c r="D11" s="244">
        <v>106754.33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1014718.0699999998</v>
      </c>
      <c r="D12" s="20">
        <f>'DOE25'!L204+'DOE25'!L222+'DOE25'!L240-F12-G12</f>
        <v>1007430.9699999999</v>
      </c>
      <c r="E12" s="243"/>
      <c r="F12" s="255">
        <f>'DOE25'!J204+'DOE25'!J222+'DOE25'!J240</f>
        <v>3408.1</v>
      </c>
      <c r="G12" s="53">
        <f>'DOE25'!K204+'DOE25'!K222+'DOE25'!K240</f>
        <v>3879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1579760.97</v>
      </c>
      <c r="D14" s="20">
        <f>'DOE25'!L206+'DOE25'!L224+'DOE25'!L242-F14-G14</f>
        <v>1533413.5</v>
      </c>
      <c r="E14" s="243"/>
      <c r="F14" s="255">
        <f>'DOE25'!J206+'DOE25'!J224+'DOE25'!J242</f>
        <v>46347.47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1069370.71</v>
      </c>
      <c r="D15" s="20">
        <f>'DOE25'!L207+'DOE25'!L225+'DOE25'!L243-F15-G15</f>
        <v>1069370.71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208930.89</v>
      </c>
      <c r="D16" s="243"/>
      <c r="E16" s="20">
        <f>'DOE25'!L208+'DOE25'!L226+'DOE25'!L244-F16-G16</f>
        <v>201188.96000000002</v>
      </c>
      <c r="F16" s="255">
        <f>'DOE25'!J208+'DOE25'!J226+'DOE25'!J244</f>
        <v>7741.93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13860</v>
      </c>
      <c r="D22" s="243"/>
      <c r="E22" s="243"/>
      <c r="F22" s="255">
        <f>'DOE25'!L254+'DOE25'!L335</f>
        <v>13860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1555122.5</v>
      </c>
      <c r="D25" s="243"/>
      <c r="E25" s="243"/>
      <c r="F25" s="258"/>
      <c r="G25" s="256"/>
      <c r="H25" s="257">
        <f>'DOE25'!L259+'DOE25'!L260+'DOE25'!L340+'DOE25'!L341</f>
        <v>1555122.5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403823.55000000005</v>
      </c>
      <c r="D29" s="20">
        <f>'DOE25'!L357+'DOE25'!L358+'DOE25'!L359-'DOE25'!I366-F29-G29</f>
        <v>394101.34</v>
      </c>
      <c r="E29" s="243"/>
      <c r="F29" s="255">
        <f>'DOE25'!J357+'DOE25'!J358+'DOE25'!J359</f>
        <v>9604.1899999999987</v>
      </c>
      <c r="G29" s="53">
        <f>'DOE25'!K357+'DOE25'!K358+'DOE25'!K359</f>
        <v>118.02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486477.43999999994</v>
      </c>
      <c r="D31" s="20">
        <f>'DOE25'!L289+'DOE25'!L308+'DOE25'!L327+'DOE25'!L332+'DOE25'!L333+'DOE25'!L334-F31-G31</f>
        <v>462860.74</v>
      </c>
      <c r="E31" s="243"/>
      <c r="F31" s="255">
        <f>'DOE25'!J289+'DOE25'!J308+'DOE25'!J327+'DOE25'!J332+'DOE25'!J333+'DOE25'!J334</f>
        <v>11398.98</v>
      </c>
      <c r="G31" s="53">
        <f>'DOE25'!K289+'DOE25'!K308+'DOE25'!K327+'DOE25'!K332+'DOE25'!K333+'DOE25'!K334</f>
        <v>12217.720000000001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23966040.749999996</v>
      </c>
      <c r="E33" s="246">
        <f>SUM(E5:E31)</f>
        <v>639667.84000000008</v>
      </c>
      <c r="F33" s="246">
        <f>SUM(F5:F31)</f>
        <v>138358.83000000002</v>
      </c>
      <c r="G33" s="246">
        <f>SUM(G5:G31)</f>
        <v>41690.29</v>
      </c>
      <c r="H33" s="246">
        <f>SUM(H5:H31)</f>
        <v>1555122.5</v>
      </c>
    </row>
    <row r="35" spans="2:8" ht="12" thickBot="1" x14ac:dyDescent="0.25">
      <c r="B35" s="253" t="s">
        <v>847</v>
      </c>
      <c r="D35" s="254">
        <f>E33</f>
        <v>639667.84000000008</v>
      </c>
      <c r="E35" s="249"/>
    </row>
    <row r="36" spans="2:8" ht="12" thickTop="1" x14ac:dyDescent="0.2">
      <c r="B36" t="s">
        <v>815</v>
      </c>
      <c r="D36" s="20">
        <f>D33</f>
        <v>23966040.749999996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Hooksett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1040376.36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228903.37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25457.73</v>
      </c>
      <c r="D12" s="95">
        <f>'DOE25'!G13</f>
        <v>32062.49</v>
      </c>
      <c r="E12" s="95">
        <f>'DOE25'!H13</f>
        <v>159921</v>
      </c>
      <c r="F12" s="95">
        <f>'DOE25'!I13</f>
        <v>0</v>
      </c>
      <c r="G12" s="95">
        <f>'DOE25'!J13</f>
        <v>389746.43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4164.45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1298901.9099999999</v>
      </c>
      <c r="D18" s="41">
        <f>SUM(D8:D17)</f>
        <v>32062.49</v>
      </c>
      <c r="E18" s="41">
        <f>SUM(E8:E17)</f>
        <v>159921</v>
      </c>
      <c r="F18" s="41">
        <f>SUM(F8:F17)</f>
        <v>0</v>
      </c>
      <c r="G18" s="41">
        <f>SUM(G8:G17)</f>
        <v>389746.43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20009.09</v>
      </c>
      <c r="E21" s="95">
        <f>'DOE25'!H22</f>
        <v>149730.28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327019.39</v>
      </c>
      <c r="D23" s="95">
        <f>'DOE25'!G24</f>
        <v>1797.51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29288.84</v>
      </c>
      <c r="D27" s="95">
        <f>'DOE25'!G28</f>
        <v>1252.23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9003.66</v>
      </c>
      <c r="E29" s="95">
        <f>'DOE25'!H30</f>
        <v>10190.719999999999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356308.23000000004</v>
      </c>
      <c r="D31" s="41">
        <f>SUM(D21:D30)</f>
        <v>32062.489999999998</v>
      </c>
      <c r="E31" s="41">
        <f>SUM(E21:E30)</f>
        <v>159921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389746.43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9198.2199999999993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933395.46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942593.67999999993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389746.43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1298901.9099999999</v>
      </c>
      <c r="D50" s="41">
        <f>D49+D31</f>
        <v>32062.489999999998</v>
      </c>
      <c r="E50" s="41">
        <f>E49+E31</f>
        <v>159921</v>
      </c>
      <c r="F50" s="41">
        <f>F49+F31</f>
        <v>0</v>
      </c>
      <c r="G50" s="41">
        <f>G49+G31</f>
        <v>389746.43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18029171.170000002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24086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21213.54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5.43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3239.89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308819.78999999998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55751.9</v>
      </c>
      <c r="D60" s="95">
        <f>SUM('DOE25'!G97:G109)</f>
        <v>0</v>
      </c>
      <c r="E60" s="95">
        <f>SUM('DOE25'!H97:H109)</f>
        <v>5164.3500000000004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101056.87</v>
      </c>
      <c r="D61" s="130">
        <f>SUM(D56:D60)</f>
        <v>308819.78999999998</v>
      </c>
      <c r="E61" s="130">
        <f>SUM(E56:E60)</f>
        <v>5164.3500000000004</v>
      </c>
      <c r="F61" s="130">
        <f>SUM(F56:F60)</f>
        <v>0</v>
      </c>
      <c r="G61" s="130">
        <f>SUM(G56:G60)</f>
        <v>3239.89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18130228.040000003</v>
      </c>
      <c r="D62" s="22">
        <f>D55+D61</f>
        <v>308819.78999999998</v>
      </c>
      <c r="E62" s="22">
        <f>E55+E61</f>
        <v>5164.3500000000004</v>
      </c>
      <c r="F62" s="22">
        <f>F55+F61</f>
        <v>0</v>
      </c>
      <c r="G62" s="22">
        <f>G55+G61</f>
        <v>3239.89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3073988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3682884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6756872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330172.46999999997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276082.67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6683.48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606255.1399999999</v>
      </c>
      <c r="D77" s="130">
        <f>SUM(D71:D76)</f>
        <v>6683.48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6383.57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7363127.1399999997</v>
      </c>
      <c r="D80" s="130">
        <f>SUM(D78:D79)+D77+D69</f>
        <v>6683.48</v>
      </c>
      <c r="E80" s="130">
        <f>SUM(E78:E79)+E77+E69</f>
        <v>6383.57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202171.35</v>
      </c>
      <c r="D87" s="95">
        <f>SUM('DOE25'!G152:G160)</f>
        <v>171164.39</v>
      </c>
      <c r="E87" s="95">
        <f>SUM('DOE25'!H152:H160)</f>
        <v>471558.52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3371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202171.35</v>
      </c>
      <c r="D90" s="131">
        <f>SUM(D84:D89)</f>
        <v>171164.39</v>
      </c>
      <c r="E90" s="131">
        <f>SUM(E84:E89)</f>
        <v>474929.52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128276.12</v>
      </c>
      <c r="E95" s="95">
        <f>'DOE25'!H178</f>
        <v>0</v>
      </c>
      <c r="F95" s="95">
        <f>'DOE25'!I178</f>
        <v>0</v>
      </c>
      <c r="G95" s="95">
        <f>'DOE25'!J178</f>
        <v>120000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128276.12</v>
      </c>
      <c r="E102" s="86">
        <f>SUM(E92:E101)</f>
        <v>0</v>
      </c>
      <c r="F102" s="86">
        <f>SUM(F92:F101)</f>
        <v>0</v>
      </c>
      <c r="G102" s="86">
        <f>SUM(G92:G101)</f>
        <v>120000</v>
      </c>
    </row>
    <row r="103" spans="1:7" ht="12.75" thickTop="1" thickBot="1" x14ac:dyDescent="0.25">
      <c r="A103" s="33" t="s">
        <v>765</v>
      </c>
      <c r="C103" s="86">
        <f>C62+C80+C90+C102</f>
        <v>25695526.530000005</v>
      </c>
      <c r="D103" s="86">
        <f>D62+D80+D90+D102</f>
        <v>614943.78</v>
      </c>
      <c r="E103" s="86">
        <f>E62+E80+E90+E102</f>
        <v>486477.44</v>
      </c>
      <c r="F103" s="86">
        <f>F62+F80+F90+F102</f>
        <v>0</v>
      </c>
      <c r="G103" s="86">
        <f>G62+G80+G102</f>
        <v>123239.89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12858595.949999999</v>
      </c>
      <c r="D108" s="24" t="s">
        <v>289</v>
      </c>
      <c r="E108" s="95">
        <f>('DOE25'!L275)+('DOE25'!L294)+('DOE25'!L313)</f>
        <v>114154.01000000001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4698871.22</v>
      </c>
      <c r="D109" s="24" t="s">
        <v>289</v>
      </c>
      <c r="E109" s="95">
        <f>('DOE25'!L276)+('DOE25'!L295)+('DOE25'!L314)</f>
        <v>185158.99000000002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97380.549999999988</v>
      </c>
      <c r="D111" s="24" t="s">
        <v>289</v>
      </c>
      <c r="E111" s="95">
        <f>+('DOE25'!L278)+('DOE25'!L297)+('DOE25'!L316)</f>
        <v>4500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17654847.719999999</v>
      </c>
      <c r="D114" s="86">
        <f>SUM(D108:D113)</f>
        <v>0</v>
      </c>
      <c r="E114" s="86">
        <f>SUM(E108:E113)</f>
        <v>303813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1220836.4099999999</v>
      </c>
      <c r="D117" s="24" t="s">
        <v>289</v>
      </c>
      <c r="E117" s="95">
        <f>+('DOE25'!L280)+('DOE25'!L299)+('DOE25'!L318)</f>
        <v>126569.44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442550.44999999995</v>
      </c>
      <c r="D118" s="24" t="s">
        <v>289</v>
      </c>
      <c r="E118" s="95">
        <f>+('DOE25'!L281)+('DOE25'!L300)+('DOE25'!L319)</f>
        <v>37529.979999999996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674856.5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1014718.0699999998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12217.720000000001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1579760.97</v>
      </c>
      <c r="D122" s="24" t="s">
        <v>289</v>
      </c>
      <c r="E122" s="95">
        <f>+('DOE25'!L285)+('DOE25'!L304)+('DOE25'!L323)</f>
        <v>39.32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1069370.71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208930.89</v>
      </c>
      <c r="D124" s="24" t="s">
        <v>289</v>
      </c>
      <c r="E124" s="95">
        <f>+('DOE25'!L287)+('DOE25'!L306)+('DOE25'!L325)</f>
        <v>6307.9800000000005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614943.78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6211023.9999999991</v>
      </c>
      <c r="D127" s="86">
        <f>SUM(D117:D126)</f>
        <v>614943.78</v>
      </c>
      <c r="E127" s="86">
        <f>SUM(E117:E126)</f>
        <v>182664.44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13860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1035000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520122.5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128276.12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60889.43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62350.46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-3239.8899999999994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1817258.62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25683130.34</v>
      </c>
      <c r="D144" s="86">
        <f>(D114+D127+D143)</f>
        <v>614943.78</v>
      </c>
      <c r="E144" s="86">
        <f>(E114+E127+E143)</f>
        <v>486477.44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05/02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07/22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30732213.059999999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4.51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11365000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11365000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1555122.5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1555122.5</v>
      </c>
    </row>
    <row r="158" spans="1:9" x14ac:dyDescent="0.2">
      <c r="A158" s="22" t="s">
        <v>35</v>
      </c>
      <c r="B158" s="137">
        <f>'DOE25'!F497</f>
        <v>10330000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10330000</v>
      </c>
    </row>
    <row r="159" spans="1:9" x14ac:dyDescent="0.2">
      <c r="A159" s="22" t="s">
        <v>36</v>
      </c>
      <c r="B159" s="137">
        <f>'DOE25'!F498</f>
        <v>2556212.5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2556212.5</v>
      </c>
    </row>
    <row r="160" spans="1:9" x14ac:dyDescent="0.2">
      <c r="A160" s="22" t="s">
        <v>37</v>
      </c>
      <c r="B160" s="137">
        <f>'DOE25'!F499</f>
        <v>12886212.5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12886212.5</v>
      </c>
    </row>
    <row r="161" spans="1:7" x14ac:dyDescent="0.2">
      <c r="A161" s="22" t="s">
        <v>38</v>
      </c>
      <c r="B161" s="137">
        <f>'DOE25'!F500</f>
        <v>1035000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1035000</v>
      </c>
    </row>
    <row r="162" spans="1:7" x14ac:dyDescent="0.2">
      <c r="A162" s="22" t="s">
        <v>39</v>
      </c>
      <c r="B162" s="137">
        <f>'DOE25'!F501</f>
        <v>476652.5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476652.5</v>
      </c>
    </row>
    <row r="163" spans="1:7" x14ac:dyDescent="0.2">
      <c r="A163" s="22" t="s">
        <v>246</v>
      </c>
      <c r="B163" s="137">
        <f>'DOE25'!F502</f>
        <v>1511652.5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1511652.5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740</v>
      </c>
      <c r="B1" s="285"/>
      <c r="C1" s="285"/>
      <c r="D1" s="285"/>
    </row>
    <row r="2" spans="1:4" x14ac:dyDescent="0.2">
      <c r="A2" s="187" t="s">
        <v>717</v>
      </c>
      <c r="B2" s="186" t="str">
        <f>'DOE25'!A2</f>
        <v>Hooksett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11068</v>
      </c>
    </row>
    <row r="5" spans="1:4" x14ac:dyDescent="0.2">
      <c r="B5" t="s">
        <v>704</v>
      </c>
      <c r="C5" s="179">
        <f>IF('DOE25'!G664+'DOE25'!G669=0,0,ROUND('DOE25'!G671,0))</f>
        <v>12124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11440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12972750</v>
      </c>
      <c r="D10" s="182">
        <f>ROUND((C10/$C$28)*100,1)</f>
        <v>51.5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4884030</v>
      </c>
      <c r="D11" s="182">
        <f>ROUND((C11/$C$28)*100,1)</f>
        <v>19.399999999999999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101881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1347406</v>
      </c>
      <c r="D15" s="182">
        <f t="shared" ref="D15:D27" si="0">ROUND((C15/$C$28)*100,1)</f>
        <v>5.4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480080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890095</v>
      </c>
      <c r="D17" s="182">
        <f t="shared" si="0"/>
        <v>3.5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1014718</v>
      </c>
      <c r="D18" s="182">
        <f t="shared" si="0"/>
        <v>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12218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1579800</v>
      </c>
      <c r="D20" s="182">
        <f t="shared" si="0"/>
        <v>6.3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1069371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520123</v>
      </c>
      <c r="D25" s="182">
        <f t="shared" si="0"/>
        <v>2.1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306124.21000000002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25178596.210000001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13860</v>
      </c>
    </row>
    <row r="30" spans="1:4" x14ac:dyDescent="0.2">
      <c r="B30" s="187" t="s">
        <v>729</v>
      </c>
      <c r="C30" s="180">
        <f>SUM(C28:C29)</f>
        <v>25192456.210000001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1035000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18029171</v>
      </c>
      <c r="D35" s="182">
        <f t="shared" ref="D35:D40" si="1">ROUND((C35/$C$41)*100,1)</f>
        <v>68.400000000000006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109461.28000000119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6756872</v>
      </c>
      <c r="D37" s="182">
        <f t="shared" si="1"/>
        <v>25.6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619322</v>
      </c>
      <c r="D38" s="182">
        <f t="shared" si="1"/>
        <v>2.2999999999999998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848265</v>
      </c>
      <c r="D39" s="182">
        <f t="shared" si="1"/>
        <v>3.2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26363091.280000001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10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6" t="s">
        <v>770</v>
      </c>
      <c r="B1" s="297"/>
      <c r="C1" s="297"/>
      <c r="D1" s="297"/>
      <c r="E1" s="297"/>
      <c r="F1" s="297"/>
      <c r="G1" s="297"/>
      <c r="H1" s="297"/>
      <c r="I1" s="297"/>
      <c r="J1" s="213"/>
      <c r="K1" s="213"/>
      <c r="L1" s="213"/>
      <c r="M1" s="214"/>
    </row>
    <row r="2" spans="1:26" ht="12.75" x14ac:dyDescent="0.2">
      <c r="A2" s="302" t="s">
        <v>767</v>
      </c>
      <c r="B2" s="303"/>
      <c r="C2" s="303"/>
      <c r="D2" s="303"/>
      <c r="E2" s="303"/>
      <c r="F2" s="300" t="str">
        <f>'DOE25'!A2</f>
        <v>Hooksett School District</v>
      </c>
      <c r="G2" s="301"/>
      <c r="H2" s="301"/>
      <c r="I2" s="301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8" t="s">
        <v>771</v>
      </c>
      <c r="D3" s="298"/>
      <c r="E3" s="298"/>
      <c r="F3" s="298"/>
      <c r="G3" s="298"/>
      <c r="H3" s="298"/>
      <c r="I3" s="298"/>
      <c r="J3" s="298"/>
      <c r="K3" s="298"/>
      <c r="L3" s="298"/>
      <c r="M3" s="299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07"/>
      <c r="AB29" s="207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07"/>
      <c r="AO29" s="207"/>
      <c r="AP29" s="292"/>
      <c r="AQ29" s="292"/>
      <c r="AR29" s="292"/>
      <c r="AS29" s="292"/>
      <c r="AT29" s="292"/>
      <c r="AU29" s="292"/>
      <c r="AV29" s="292"/>
      <c r="AW29" s="292"/>
      <c r="AX29" s="292"/>
      <c r="AY29" s="292"/>
      <c r="AZ29" s="292"/>
      <c r="BA29" s="207"/>
      <c r="BB29" s="207"/>
      <c r="BC29" s="292"/>
      <c r="BD29" s="292"/>
      <c r="BE29" s="292"/>
      <c r="BF29" s="292"/>
      <c r="BG29" s="292"/>
      <c r="BH29" s="292"/>
      <c r="BI29" s="292"/>
      <c r="BJ29" s="292"/>
      <c r="BK29" s="292"/>
      <c r="BL29" s="292"/>
      <c r="BM29" s="292"/>
      <c r="BN29" s="207"/>
      <c r="BO29" s="207"/>
      <c r="BP29" s="292"/>
      <c r="BQ29" s="292"/>
      <c r="BR29" s="292"/>
      <c r="BS29" s="292"/>
      <c r="BT29" s="292"/>
      <c r="BU29" s="292"/>
      <c r="BV29" s="292"/>
      <c r="BW29" s="292"/>
      <c r="BX29" s="292"/>
      <c r="BY29" s="292"/>
      <c r="BZ29" s="292"/>
      <c r="CA29" s="207"/>
      <c r="CB29" s="207"/>
      <c r="CC29" s="292"/>
      <c r="CD29" s="292"/>
      <c r="CE29" s="292"/>
      <c r="CF29" s="292"/>
      <c r="CG29" s="292"/>
      <c r="CH29" s="292"/>
      <c r="CI29" s="292"/>
      <c r="CJ29" s="292"/>
      <c r="CK29" s="292"/>
      <c r="CL29" s="292"/>
      <c r="CM29" s="292"/>
      <c r="CN29" s="207"/>
      <c r="CO29" s="207"/>
      <c r="CP29" s="292"/>
      <c r="CQ29" s="292"/>
      <c r="CR29" s="292"/>
      <c r="CS29" s="292"/>
      <c r="CT29" s="292"/>
      <c r="CU29" s="292"/>
      <c r="CV29" s="292"/>
      <c r="CW29" s="292"/>
      <c r="CX29" s="292"/>
      <c r="CY29" s="292"/>
      <c r="CZ29" s="292"/>
      <c r="DA29" s="207"/>
      <c r="DB29" s="207"/>
      <c r="DC29" s="292"/>
      <c r="DD29" s="292"/>
      <c r="DE29" s="292"/>
      <c r="DF29" s="292"/>
      <c r="DG29" s="292"/>
      <c r="DH29" s="292"/>
      <c r="DI29" s="292"/>
      <c r="DJ29" s="292"/>
      <c r="DK29" s="292"/>
      <c r="DL29" s="292"/>
      <c r="DM29" s="292"/>
      <c r="DN29" s="207"/>
      <c r="DO29" s="207"/>
      <c r="DP29" s="292"/>
      <c r="DQ29" s="292"/>
      <c r="DR29" s="292"/>
      <c r="DS29" s="292"/>
      <c r="DT29" s="292"/>
      <c r="DU29" s="292"/>
      <c r="DV29" s="292"/>
      <c r="DW29" s="292"/>
      <c r="DX29" s="292"/>
      <c r="DY29" s="292"/>
      <c r="DZ29" s="292"/>
      <c r="EA29" s="207"/>
      <c r="EB29" s="207"/>
      <c r="EC29" s="292"/>
      <c r="ED29" s="292"/>
      <c r="EE29" s="292"/>
      <c r="EF29" s="292"/>
      <c r="EG29" s="292"/>
      <c r="EH29" s="292"/>
      <c r="EI29" s="292"/>
      <c r="EJ29" s="292"/>
      <c r="EK29" s="292"/>
      <c r="EL29" s="292"/>
      <c r="EM29" s="292"/>
      <c r="EN29" s="207"/>
      <c r="EO29" s="207"/>
      <c r="EP29" s="292"/>
      <c r="EQ29" s="292"/>
      <c r="ER29" s="292"/>
      <c r="ES29" s="292"/>
      <c r="ET29" s="292"/>
      <c r="EU29" s="292"/>
      <c r="EV29" s="292"/>
      <c r="EW29" s="292"/>
      <c r="EX29" s="292"/>
      <c r="EY29" s="292"/>
      <c r="EZ29" s="292"/>
      <c r="FA29" s="207"/>
      <c r="FB29" s="207"/>
      <c r="FC29" s="292"/>
      <c r="FD29" s="292"/>
      <c r="FE29" s="292"/>
      <c r="FF29" s="292"/>
      <c r="FG29" s="292"/>
      <c r="FH29" s="292"/>
      <c r="FI29" s="292"/>
      <c r="FJ29" s="292"/>
      <c r="FK29" s="292"/>
      <c r="FL29" s="292"/>
      <c r="FM29" s="292"/>
      <c r="FN29" s="207"/>
      <c r="FO29" s="207"/>
      <c r="FP29" s="292"/>
      <c r="FQ29" s="292"/>
      <c r="FR29" s="292"/>
      <c r="FS29" s="292"/>
      <c r="FT29" s="292"/>
      <c r="FU29" s="292"/>
      <c r="FV29" s="292"/>
      <c r="FW29" s="292"/>
      <c r="FX29" s="292"/>
      <c r="FY29" s="292"/>
      <c r="FZ29" s="292"/>
      <c r="GA29" s="207"/>
      <c r="GB29" s="207"/>
      <c r="GC29" s="292"/>
      <c r="GD29" s="292"/>
      <c r="GE29" s="292"/>
      <c r="GF29" s="292"/>
      <c r="GG29" s="292"/>
      <c r="GH29" s="292"/>
      <c r="GI29" s="292"/>
      <c r="GJ29" s="292"/>
      <c r="GK29" s="292"/>
      <c r="GL29" s="292"/>
      <c r="GM29" s="292"/>
      <c r="GN29" s="207"/>
      <c r="GO29" s="207"/>
      <c r="GP29" s="292"/>
      <c r="GQ29" s="292"/>
      <c r="GR29" s="292"/>
      <c r="GS29" s="292"/>
      <c r="GT29" s="292"/>
      <c r="GU29" s="292"/>
      <c r="GV29" s="292"/>
      <c r="GW29" s="292"/>
      <c r="GX29" s="292"/>
      <c r="GY29" s="292"/>
      <c r="GZ29" s="292"/>
      <c r="HA29" s="207"/>
      <c r="HB29" s="207"/>
      <c r="HC29" s="292"/>
      <c r="HD29" s="292"/>
      <c r="HE29" s="292"/>
      <c r="HF29" s="292"/>
      <c r="HG29" s="292"/>
      <c r="HH29" s="292"/>
      <c r="HI29" s="292"/>
      <c r="HJ29" s="292"/>
      <c r="HK29" s="292"/>
      <c r="HL29" s="292"/>
      <c r="HM29" s="292"/>
      <c r="HN29" s="207"/>
      <c r="HO29" s="207"/>
      <c r="HP29" s="292"/>
      <c r="HQ29" s="292"/>
      <c r="HR29" s="292"/>
      <c r="HS29" s="292"/>
      <c r="HT29" s="292"/>
      <c r="HU29" s="292"/>
      <c r="HV29" s="292"/>
      <c r="HW29" s="292"/>
      <c r="HX29" s="292"/>
      <c r="HY29" s="292"/>
      <c r="HZ29" s="292"/>
      <c r="IA29" s="207"/>
      <c r="IB29" s="207"/>
      <c r="IC29" s="292"/>
      <c r="ID29" s="292"/>
      <c r="IE29" s="292"/>
      <c r="IF29" s="292"/>
      <c r="IG29" s="292"/>
      <c r="IH29" s="292"/>
      <c r="II29" s="292"/>
      <c r="IJ29" s="292"/>
      <c r="IK29" s="292"/>
      <c r="IL29" s="292"/>
      <c r="IM29" s="292"/>
      <c r="IN29" s="207"/>
      <c r="IO29" s="207"/>
      <c r="IP29" s="292"/>
      <c r="IQ29" s="292"/>
      <c r="IR29" s="292"/>
      <c r="IS29" s="292"/>
      <c r="IT29" s="292"/>
      <c r="IU29" s="292"/>
      <c r="IV29" s="292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07"/>
      <c r="AB30" s="207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07"/>
      <c r="AO30" s="207"/>
      <c r="AP30" s="292"/>
      <c r="AQ30" s="292"/>
      <c r="AR30" s="292"/>
      <c r="AS30" s="292"/>
      <c r="AT30" s="292"/>
      <c r="AU30" s="292"/>
      <c r="AV30" s="292"/>
      <c r="AW30" s="292"/>
      <c r="AX30" s="292"/>
      <c r="AY30" s="292"/>
      <c r="AZ30" s="292"/>
      <c r="BA30" s="207"/>
      <c r="BB30" s="207"/>
      <c r="BC30" s="292"/>
      <c r="BD30" s="292"/>
      <c r="BE30" s="292"/>
      <c r="BF30" s="292"/>
      <c r="BG30" s="292"/>
      <c r="BH30" s="292"/>
      <c r="BI30" s="292"/>
      <c r="BJ30" s="292"/>
      <c r="BK30" s="292"/>
      <c r="BL30" s="292"/>
      <c r="BM30" s="292"/>
      <c r="BN30" s="207"/>
      <c r="BO30" s="207"/>
      <c r="BP30" s="292"/>
      <c r="BQ30" s="292"/>
      <c r="BR30" s="292"/>
      <c r="BS30" s="292"/>
      <c r="BT30" s="292"/>
      <c r="BU30" s="292"/>
      <c r="BV30" s="292"/>
      <c r="BW30" s="292"/>
      <c r="BX30" s="292"/>
      <c r="BY30" s="292"/>
      <c r="BZ30" s="292"/>
      <c r="CA30" s="207"/>
      <c r="CB30" s="207"/>
      <c r="CC30" s="292"/>
      <c r="CD30" s="292"/>
      <c r="CE30" s="292"/>
      <c r="CF30" s="292"/>
      <c r="CG30" s="292"/>
      <c r="CH30" s="292"/>
      <c r="CI30" s="292"/>
      <c r="CJ30" s="292"/>
      <c r="CK30" s="292"/>
      <c r="CL30" s="292"/>
      <c r="CM30" s="292"/>
      <c r="CN30" s="207"/>
      <c r="CO30" s="207"/>
      <c r="CP30" s="292"/>
      <c r="CQ30" s="292"/>
      <c r="CR30" s="292"/>
      <c r="CS30" s="292"/>
      <c r="CT30" s="292"/>
      <c r="CU30" s="292"/>
      <c r="CV30" s="292"/>
      <c r="CW30" s="292"/>
      <c r="CX30" s="292"/>
      <c r="CY30" s="292"/>
      <c r="CZ30" s="292"/>
      <c r="DA30" s="207"/>
      <c r="DB30" s="207"/>
      <c r="DC30" s="292"/>
      <c r="DD30" s="292"/>
      <c r="DE30" s="292"/>
      <c r="DF30" s="292"/>
      <c r="DG30" s="292"/>
      <c r="DH30" s="292"/>
      <c r="DI30" s="292"/>
      <c r="DJ30" s="292"/>
      <c r="DK30" s="292"/>
      <c r="DL30" s="292"/>
      <c r="DM30" s="292"/>
      <c r="DN30" s="207"/>
      <c r="DO30" s="207"/>
      <c r="DP30" s="292"/>
      <c r="DQ30" s="292"/>
      <c r="DR30" s="292"/>
      <c r="DS30" s="292"/>
      <c r="DT30" s="292"/>
      <c r="DU30" s="292"/>
      <c r="DV30" s="292"/>
      <c r="DW30" s="292"/>
      <c r="DX30" s="292"/>
      <c r="DY30" s="292"/>
      <c r="DZ30" s="292"/>
      <c r="EA30" s="207"/>
      <c r="EB30" s="207"/>
      <c r="EC30" s="292"/>
      <c r="ED30" s="292"/>
      <c r="EE30" s="292"/>
      <c r="EF30" s="292"/>
      <c r="EG30" s="292"/>
      <c r="EH30" s="292"/>
      <c r="EI30" s="292"/>
      <c r="EJ30" s="292"/>
      <c r="EK30" s="292"/>
      <c r="EL30" s="292"/>
      <c r="EM30" s="292"/>
      <c r="EN30" s="207"/>
      <c r="EO30" s="207"/>
      <c r="EP30" s="292"/>
      <c r="EQ30" s="292"/>
      <c r="ER30" s="292"/>
      <c r="ES30" s="292"/>
      <c r="ET30" s="292"/>
      <c r="EU30" s="292"/>
      <c r="EV30" s="292"/>
      <c r="EW30" s="292"/>
      <c r="EX30" s="292"/>
      <c r="EY30" s="292"/>
      <c r="EZ30" s="292"/>
      <c r="FA30" s="207"/>
      <c r="FB30" s="207"/>
      <c r="FC30" s="292"/>
      <c r="FD30" s="292"/>
      <c r="FE30" s="292"/>
      <c r="FF30" s="292"/>
      <c r="FG30" s="292"/>
      <c r="FH30" s="292"/>
      <c r="FI30" s="292"/>
      <c r="FJ30" s="292"/>
      <c r="FK30" s="292"/>
      <c r="FL30" s="292"/>
      <c r="FM30" s="292"/>
      <c r="FN30" s="207"/>
      <c r="FO30" s="207"/>
      <c r="FP30" s="292"/>
      <c r="FQ30" s="292"/>
      <c r="FR30" s="292"/>
      <c r="FS30" s="292"/>
      <c r="FT30" s="292"/>
      <c r="FU30" s="292"/>
      <c r="FV30" s="292"/>
      <c r="FW30" s="292"/>
      <c r="FX30" s="292"/>
      <c r="FY30" s="292"/>
      <c r="FZ30" s="292"/>
      <c r="GA30" s="207"/>
      <c r="GB30" s="207"/>
      <c r="GC30" s="292"/>
      <c r="GD30" s="292"/>
      <c r="GE30" s="292"/>
      <c r="GF30" s="292"/>
      <c r="GG30" s="292"/>
      <c r="GH30" s="292"/>
      <c r="GI30" s="292"/>
      <c r="GJ30" s="292"/>
      <c r="GK30" s="292"/>
      <c r="GL30" s="292"/>
      <c r="GM30" s="292"/>
      <c r="GN30" s="207"/>
      <c r="GO30" s="207"/>
      <c r="GP30" s="292"/>
      <c r="GQ30" s="292"/>
      <c r="GR30" s="292"/>
      <c r="GS30" s="292"/>
      <c r="GT30" s="292"/>
      <c r="GU30" s="292"/>
      <c r="GV30" s="292"/>
      <c r="GW30" s="292"/>
      <c r="GX30" s="292"/>
      <c r="GY30" s="292"/>
      <c r="GZ30" s="292"/>
      <c r="HA30" s="207"/>
      <c r="HB30" s="207"/>
      <c r="HC30" s="292"/>
      <c r="HD30" s="292"/>
      <c r="HE30" s="292"/>
      <c r="HF30" s="292"/>
      <c r="HG30" s="292"/>
      <c r="HH30" s="292"/>
      <c r="HI30" s="292"/>
      <c r="HJ30" s="292"/>
      <c r="HK30" s="292"/>
      <c r="HL30" s="292"/>
      <c r="HM30" s="292"/>
      <c r="HN30" s="207"/>
      <c r="HO30" s="207"/>
      <c r="HP30" s="292"/>
      <c r="HQ30" s="292"/>
      <c r="HR30" s="292"/>
      <c r="HS30" s="292"/>
      <c r="HT30" s="292"/>
      <c r="HU30" s="292"/>
      <c r="HV30" s="292"/>
      <c r="HW30" s="292"/>
      <c r="HX30" s="292"/>
      <c r="HY30" s="292"/>
      <c r="HZ30" s="292"/>
      <c r="IA30" s="207"/>
      <c r="IB30" s="207"/>
      <c r="IC30" s="292"/>
      <c r="ID30" s="292"/>
      <c r="IE30" s="292"/>
      <c r="IF30" s="292"/>
      <c r="IG30" s="292"/>
      <c r="IH30" s="292"/>
      <c r="II30" s="292"/>
      <c r="IJ30" s="292"/>
      <c r="IK30" s="292"/>
      <c r="IL30" s="292"/>
      <c r="IM30" s="292"/>
      <c r="IN30" s="207"/>
      <c r="IO30" s="207"/>
      <c r="IP30" s="292"/>
      <c r="IQ30" s="292"/>
      <c r="IR30" s="292"/>
      <c r="IS30" s="292"/>
      <c r="IT30" s="292"/>
      <c r="IU30" s="292"/>
      <c r="IV30" s="292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07"/>
      <c r="AB31" s="207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92"/>
      <c r="AN31" s="207"/>
      <c r="AO31" s="207"/>
      <c r="AP31" s="292"/>
      <c r="AQ31" s="292"/>
      <c r="AR31" s="292"/>
      <c r="AS31" s="292"/>
      <c r="AT31" s="292"/>
      <c r="AU31" s="292"/>
      <c r="AV31" s="292"/>
      <c r="AW31" s="292"/>
      <c r="AX31" s="292"/>
      <c r="AY31" s="292"/>
      <c r="AZ31" s="292"/>
      <c r="BA31" s="207"/>
      <c r="BB31" s="207"/>
      <c r="BC31" s="292"/>
      <c r="BD31" s="292"/>
      <c r="BE31" s="292"/>
      <c r="BF31" s="292"/>
      <c r="BG31" s="292"/>
      <c r="BH31" s="292"/>
      <c r="BI31" s="292"/>
      <c r="BJ31" s="292"/>
      <c r="BK31" s="292"/>
      <c r="BL31" s="292"/>
      <c r="BM31" s="292"/>
      <c r="BN31" s="207"/>
      <c r="BO31" s="207"/>
      <c r="BP31" s="292"/>
      <c r="BQ31" s="292"/>
      <c r="BR31" s="292"/>
      <c r="BS31" s="292"/>
      <c r="BT31" s="292"/>
      <c r="BU31" s="292"/>
      <c r="BV31" s="292"/>
      <c r="BW31" s="292"/>
      <c r="BX31" s="292"/>
      <c r="BY31" s="292"/>
      <c r="BZ31" s="292"/>
      <c r="CA31" s="207"/>
      <c r="CB31" s="207"/>
      <c r="CC31" s="292"/>
      <c r="CD31" s="292"/>
      <c r="CE31" s="292"/>
      <c r="CF31" s="292"/>
      <c r="CG31" s="292"/>
      <c r="CH31" s="292"/>
      <c r="CI31" s="292"/>
      <c r="CJ31" s="292"/>
      <c r="CK31" s="292"/>
      <c r="CL31" s="292"/>
      <c r="CM31" s="292"/>
      <c r="CN31" s="207"/>
      <c r="CO31" s="207"/>
      <c r="CP31" s="292"/>
      <c r="CQ31" s="292"/>
      <c r="CR31" s="292"/>
      <c r="CS31" s="292"/>
      <c r="CT31" s="292"/>
      <c r="CU31" s="292"/>
      <c r="CV31" s="292"/>
      <c r="CW31" s="292"/>
      <c r="CX31" s="292"/>
      <c r="CY31" s="292"/>
      <c r="CZ31" s="292"/>
      <c r="DA31" s="207"/>
      <c r="DB31" s="207"/>
      <c r="DC31" s="292"/>
      <c r="DD31" s="292"/>
      <c r="DE31" s="292"/>
      <c r="DF31" s="292"/>
      <c r="DG31" s="292"/>
      <c r="DH31" s="292"/>
      <c r="DI31" s="292"/>
      <c r="DJ31" s="292"/>
      <c r="DK31" s="292"/>
      <c r="DL31" s="292"/>
      <c r="DM31" s="292"/>
      <c r="DN31" s="207"/>
      <c r="DO31" s="207"/>
      <c r="DP31" s="292"/>
      <c r="DQ31" s="292"/>
      <c r="DR31" s="292"/>
      <c r="DS31" s="292"/>
      <c r="DT31" s="292"/>
      <c r="DU31" s="292"/>
      <c r="DV31" s="292"/>
      <c r="DW31" s="292"/>
      <c r="DX31" s="292"/>
      <c r="DY31" s="292"/>
      <c r="DZ31" s="292"/>
      <c r="EA31" s="207"/>
      <c r="EB31" s="207"/>
      <c r="EC31" s="292"/>
      <c r="ED31" s="292"/>
      <c r="EE31" s="292"/>
      <c r="EF31" s="292"/>
      <c r="EG31" s="292"/>
      <c r="EH31" s="292"/>
      <c r="EI31" s="292"/>
      <c r="EJ31" s="292"/>
      <c r="EK31" s="292"/>
      <c r="EL31" s="292"/>
      <c r="EM31" s="292"/>
      <c r="EN31" s="207"/>
      <c r="EO31" s="207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07"/>
      <c r="FB31" s="207"/>
      <c r="FC31" s="292"/>
      <c r="FD31" s="292"/>
      <c r="FE31" s="292"/>
      <c r="FF31" s="292"/>
      <c r="FG31" s="292"/>
      <c r="FH31" s="292"/>
      <c r="FI31" s="292"/>
      <c r="FJ31" s="292"/>
      <c r="FK31" s="292"/>
      <c r="FL31" s="292"/>
      <c r="FM31" s="292"/>
      <c r="FN31" s="207"/>
      <c r="FO31" s="207"/>
      <c r="FP31" s="292"/>
      <c r="FQ31" s="292"/>
      <c r="FR31" s="292"/>
      <c r="FS31" s="292"/>
      <c r="FT31" s="292"/>
      <c r="FU31" s="292"/>
      <c r="FV31" s="292"/>
      <c r="FW31" s="292"/>
      <c r="FX31" s="292"/>
      <c r="FY31" s="292"/>
      <c r="FZ31" s="292"/>
      <c r="GA31" s="207"/>
      <c r="GB31" s="207"/>
      <c r="GC31" s="292"/>
      <c r="GD31" s="292"/>
      <c r="GE31" s="292"/>
      <c r="GF31" s="292"/>
      <c r="GG31" s="292"/>
      <c r="GH31" s="292"/>
      <c r="GI31" s="292"/>
      <c r="GJ31" s="292"/>
      <c r="GK31" s="292"/>
      <c r="GL31" s="292"/>
      <c r="GM31" s="292"/>
      <c r="GN31" s="207"/>
      <c r="GO31" s="207"/>
      <c r="GP31" s="292"/>
      <c r="GQ31" s="292"/>
      <c r="GR31" s="292"/>
      <c r="GS31" s="292"/>
      <c r="GT31" s="292"/>
      <c r="GU31" s="292"/>
      <c r="GV31" s="292"/>
      <c r="GW31" s="292"/>
      <c r="GX31" s="292"/>
      <c r="GY31" s="292"/>
      <c r="GZ31" s="292"/>
      <c r="HA31" s="207"/>
      <c r="HB31" s="207"/>
      <c r="HC31" s="292"/>
      <c r="HD31" s="292"/>
      <c r="HE31" s="292"/>
      <c r="HF31" s="292"/>
      <c r="HG31" s="292"/>
      <c r="HH31" s="292"/>
      <c r="HI31" s="292"/>
      <c r="HJ31" s="292"/>
      <c r="HK31" s="292"/>
      <c r="HL31" s="292"/>
      <c r="HM31" s="292"/>
      <c r="HN31" s="207"/>
      <c r="HO31" s="207"/>
      <c r="HP31" s="292"/>
      <c r="HQ31" s="292"/>
      <c r="HR31" s="292"/>
      <c r="HS31" s="292"/>
      <c r="HT31" s="292"/>
      <c r="HU31" s="292"/>
      <c r="HV31" s="292"/>
      <c r="HW31" s="292"/>
      <c r="HX31" s="292"/>
      <c r="HY31" s="292"/>
      <c r="HZ31" s="292"/>
      <c r="IA31" s="207"/>
      <c r="IB31" s="207"/>
      <c r="IC31" s="292"/>
      <c r="ID31" s="292"/>
      <c r="IE31" s="292"/>
      <c r="IF31" s="292"/>
      <c r="IG31" s="292"/>
      <c r="IH31" s="292"/>
      <c r="II31" s="292"/>
      <c r="IJ31" s="292"/>
      <c r="IK31" s="292"/>
      <c r="IL31" s="292"/>
      <c r="IM31" s="292"/>
      <c r="IN31" s="207"/>
      <c r="IO31" s="207"/>
      <c r="IP31" s="292"/>
      <c r="IQ31" s="292"/>
      <c r="IR31" s="292"/>
      <c r="IS31" s="292"/>
      <c r="IT31" s="292"/>
      <c r="IU31" s="292"/>
      <c r="IV31" s="292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07"/>
      <c r="AB38" s="207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07"/>
      <c r="AO38" s="207"/>
      <c r="AP38" s="292"/>
      <c r="AQ38" s="292"/>
      <c r="AR38" s="292"/>
      <c r="AS38" s="292"/>
      <c r="AT38" s="292"/>
      <c r="AU38" s="292"/>
      <c r="AV38" s="292"/>
      <c r="AW38" s="292"/>
      <c r="AX38" s="292"/>
      <c r="AY38" s="292"/>
      <c r="AZ38" s="292"/>
      <c r="BA38" s="207"/>
      <c r="BB38" s="207"/>
      <c r="BC38" s="292"/>
      <c r="BD38" s="292"/>
      <c r="BE38" s="292"/>
      <c r="BF38" s="292"/>
      <c r="BG38" s="292"/>
      <c r="BH38" s="292"/>
      <c r="BI38" s="292"/>
      <c r="BJ38" s="292"/>
      <c r="BK38" s="292"/>
      <c r="BL38" s="292"/>
      <c r="BM38" s="292"/>
      <c r="BN38" s="207"/>
      <c r="BO38" s="207"/>
      <c r="BP38" s="292"/>
      <c r="BQ38" s="292"/>
      <c r="BR38" s="292"/>
      <c r="BS38" s="292"/>
      <c r="BT38" s="292"/>
      <c r="BU38" s="292"/>
      <c r="BV38" s="292"/>
      <c r="BW38" s="292"/>
      <c r="BX38" s="292"/>
      <c r="BY38" s="292"/>
      <c r="BZ38" s="292"/>
      <c r="CA38" s="207"/>
      <c r="CB38" s="207"/>
      <c r="CC38" s="292"/>
      <c r="CD38" s="292"/>
      <c r="CE38" s="292"/>
      <c r="CF38" s="292"/>
      <c r="CG38" s="292"/>
      <c r="CH38" s="292"/>
      <c r="CI38" s="292"/>
      <c r="CJ38" s="292"/>
      <c r="CK38" s="292"/>
      <c r="CL38" s="292"/>
      <c r="CM38" s="292"/>
      <c r="CN38" s="207"/>
      <c r="CO38" s="207"/>
      <c r="CP38" s="292"/>
      <c r="CQ38" s="292"/>
      <c r="CR38" s="292"/>
      <c r="CS38" s="292"/>
      <c r="CT38" s="292"/>
      <c r="CU38" s="292"/>
      <c r="CV38" s="292"/>
      <c r="CW38" s="292"/>
      <c r="CX38" s="292"/>
      <c r="CY38" s="292"/>
      <c r="CZ38" s="292"/>
      <c r="DA38" s="207"/>
      <c r="DB38" s="207"/>
      <c r="DC38" s="292"/>
      <c r="DD38" s="292"/>
      <c r="DE38" s="292"/>
      <c r="DF38" s="292"/>
      <c r="DG38" s="292"/>
      <c r="DH38" s="292"/>
      <c r="DI38" s="292"/>
      <c r="DJ38" s="292"/>
      <c r="DK38" s="292"/>
      <c r="DL38" s="292"/>
      <c r="DM38" s="292"/>
      <c r="DN38" s="207"/>
      <c r="DO38" s="207"/>
      <c r="DP38" s="292"/>
      <c r="DQ38" s="292"/>
      <c r="DR38" s="292"/>
      <c r="DS38" s="292"/>
      <c r="DT38" s="292"/>
      <c r="DU38" s="292"/>
      <c r="DV38" s="292"/>
      <c r="DW38" s="292"/>
      <c r="DX38" s="292"/>
      <c r="DY38" s="292"/>
      <c r="DZ38" s="292"/>
      <c r="EA38" s="207"/>
      <c r="EB38" s="207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07"/>
      <c r="EO38" s="207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07"/>
      <c r="FB38" s="207"/>
      <c r="FC38" s="292"/>
      <c r="FD38" s="292"/>
      <c r="FE38" s="292"/>
      <c r="FF38" s="292"/>
      <c r="FG38" s="292"/>
      <c r="FH38" s="292"/>
      <c r="FI38" s="292"/>
      <c r="FJ38" s="292"/>
      <c r="FK38" s="292"/>
      <c r="FL38" s="292"/>
      <c r="FM38" s="292"/>
      <c r="FN38" s="207"/>
      <c r="FO38" s="207"/>
      <c r="FP38" s="292"/>
      <c r="FQ38" s="292"/>
      <c r="FR38" s="292"/>
      <c r="FS38" s="292"/>
      <c r="FT38" s="292"/>
      <c r="FU38" s="292"/>
      <c r="FV38" s="292"/>
      <c r="FW38" s="292"/>
      <c r="FX38" s="292"/>
      <c r="FY38" s="292"/>
      <c r="FZ38" s="292"/>
      <c r="GA38" s="207"/>
      <c r="GB38" s="207"/>
      <c r="GC38" s="292"/>
      <c r="GD38" s="292"/>
      <c r="GE38" s="292"/>
      <c r="GF38" s="292"/>
      <c r="GG38" s="292"/>
      <c r="GH38" s="292"/>
      <c r="GI38" s="292"/>
      <c r="GJ38" s="292"/>
      <c r="GK38" s="292"/>
      <c r="GL38" s="292"/>
      <c r="GM38" s="292"/>
      <c r="GN38" s="207"/>
      <c r="GO38" s="207"/>
      <c r="GP38" s="292"/>
      <c r="GQ38" s="292"/>
      <c r="GR38" s="292"/>
      <c r="GS38" s="292"/>
      <c r="GT38" s="292"/>
      <c r="GU38" s="292"/>
      <c r="GV38" s="292"/>
      <c r="GW38" s="292"/>
      <c r="GX38" s="292"/>
      <c r="GY38" s="292"/>
      <c r="GZ38" s="292"/>
      <c r="HA38" s="207"/>
      <c r="HB38" s="207"/>
      <c r="HC38" s="292"/>
      <c r="HD38" s="292"/>
      <c r="HE38" s="292"/>
      <c r="HF38" s="292"/>
      <c r="HG38" s="292"/>
      <c r="HH38" s="292"/>
      <c r="HI38" s="292"/>
      <c r="HJ38" s="292"/>
      <c r="HK38" s="292"/>
      <c r="HL38" s="292"/>
      <c r="HM38" s="292"/>
      <c r="HN38" s="207"/>
      <c r="HO38" s="207"/>
      <c r="HP38" s="292"/>
      <c r="HQ38" s="292"/>
      <c r="HR38" s="292"/>
      <c r="HS38" s="292"/>
      <c r="HT38" s="292"/>
      <c r="HU38" s="292"/>
      <c r="HV38" s="292"/>
      <c r="HW38" s="292"/>
      <c r="HX38" s="292"/>
      <c r="HY38" s="292"/>
      <c r="HZ38" s="292"/>
      <c r="IA38" s="207"/>
      <c r="IB38" s="207"/>
      <c r="IC38" s="292"/>
      <c r="ID38" s="292"/>
      <c r="IE38" s="292"/>
      <c r="IF38" s="292"/>
      <c r="IG38" s="292"/>
      <c r="IH38" s="292"/>
      <c r="II38" s="292"/>
      <c r="IJ38" s="292"/>
      <c r="IK38" s="292"/>
      <c r="IL38" s="292"/>
      <c r="IM38" s="292"/>
      <c r="IN38" s="207"/>
      <c r="IO38" s="207"/>
      <c r="IP38" s="292"/>
      <c r="IQ38" s="292"/>
      <c r="IR38" s="292"/>
      <c r="IS38" s="292"/>
      <c r="IT38" s="292"/>
      <c r="IU38" s="292"/>
      <c r="IV38" s="292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07"/>
      <c r="AB39" s="207"/>
      <c r="AC39" s="292"/>
      <c r="AD39" s="292"/>
      <c r="AE39" s="292"/>
      <c r="AF39" s="292"/>
      <c r="AG39" s="292"/>
      <c r="AH39" s="292"/>
      <c r="AI39" s="292"/>
      <c r="AJ39" s="292"/>
      <c r="AK39" s="292"/>
      <c r="AL39" s="292"/>
      <c r="AM39" s="292"/>
      <c r="AN39" s="207"/>
      <c r="AO39" s="207"/>
      <c r="AP39" s="292"/>
      <c r="AQ39" s="292"/>
      <c r="AR39" s="292"/>
      <c r="AS39" s="292"/>
      <c r="AT39" s="292"/>
      <c r="AU39" s="292"/>
      <c r="AV39" s="292"/>
      <c r="AW39" s="292"/>
      <c r="AX39" s="292"/>
      <c r="AY39" s="292"/>
      <c r="AZ39" s="292"/>
      <c r="BA39" s="207"/>
      <c r="BB39" s="207"/>
      <c r="BC39" s="292"/>
      <c r="BD39" s="292"/>
      <c r="BE39" s="292"/>
      <c r="BF39" s="292"/>
      <c r="BG39" s="292"/>
      <c r="BH39" s="292"/>
      <c r="BI39" s="292"/>
      <c r="BJ39" s="292"/>
      <c r="BK39" s="292"/>
      <c r="BL39" s="292"/>
      <c r="BM39" s="292"/>
      <c r="BN39" s="207"/>
      <c r="BO39" s="207"/>
      <c r="BP39" s="292"/>
      <c r="BQ39" s="292"/>
      <c r="BR39" s="292"/>
      <c r="BS39" s="292"/>
      <c r="BT39" s="292"/>
      <c r="BU39" s="292"/>
      <c r="BV39" s="292"/>
      <c r="BW39" s="292"/>
      <c r="BX39" s="292"/>
      <c r="BY39" s="292"/>
      <c r="BZ39" s="292"/>
      <c r="CA39" s="207"/>
      <c r="CB39" s="207"/>
      <c r="CC39" s="292"/>
      <c r="CD39" s="292"/>
      <c r="CE39" s="292"/>
      <c r="CF39" s="292"/>
      <c r="CG39" s="292"/>
      <c r="CH39" s="292"/>
      <c r="CI39" s="292"/>
      <c r="CJ39" s="292"/>
      <c r="CK39" s="292"/>
      <c r="CL39" s="292"/>
      <c r="CM39" s="292"/>
      <c r="CN39" s="207"/>
      <c r="CO39" s="207"/>
      <c r="CP39" s="292"/>
      <c r="CQ39" s="292"/>
      <c r="CR39" s="292"/>
      <c r="CS39" s="292"/>
      <c r="CT39" s="292"/>
      <c r="CU39" s="292"/>
      <c r="CV39" s="292"/>
      <c r="CW39" s="292"/>
      <c r="CX39" s="292"/>
      <c r="CY39" s="292"/>
      <c r="CZ39" s="292"/>
      <c r="DA39" s="207"/>
      <c r="DB39" s="207"/>
      <c r="DC39" s="292"/>
      <c r="DD39" s="292"/>
      <c r="DE39" s="292"/>
      <c r="DF39" s="292"/>
      <c r="DG39" s="292"/>
      <c r="DH39" s="292"/>
      <c r="DI39" s="292"/>
      <c r="DJ39" s="292"/>
      <c r="DK39" s="292"/>
      <c r="DL39" s="292"/>
      <c r="DM39" s="292"/>
      <c r="DN39" s="207"/>
      <c r="DO39" s="207"/>
      <c r="DP39" s="292"/>
      <c r="DQ39" s="292"/>
      <c r="DR39" s="292"/>
      <c r="DS39" s="292"/>
      <c r="DT39" s="292"/>
      <c r="DU39" s="292"/>
      <c r="DV39" s="292"/>
      <c r="DW39" s="292"/>
      <c r="DX39" s="292"/>
      <c r="DY39" s="292"/>
      <c r="DZ39" s="292"/>
      <c r="EA39" s="207"/>
      <c r="EB39" s="207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07"/>
      <c r="EO39" s="207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07"/>
      <c r="FB39" s="207"/>
      <c r="FC39" s="292"/>
      <c r="FD39" s="292"/>
      <c r="FE39" s="292"/>
      <c r="FF39" s="292"/>
      <c r="FG39" s="292"/>
      <c r="FH39" s="292"/>
      <c r="FI39" s="292"/>
      <c r="FJ39" s="292"/>
      <c r="FK39" s="292"/>
      <c r="FL39" s="292"/>
      <c r="FM39" s="292"/>
      <c r="FN39" s="207"/>
      <c r="FO39" s="207"/>
      <c r="FP39" s="292"/>
      <c r="FQ39" s="292"/>
      <c r="FR39" s="292"/>
      <c r="FS39" s="292"/>
      <c r="FT39" s="292"/>
      <c r="FU39" s="292"/>
      <c r="FV39" s="292"/>
      <c r="FW39" s="292"/>
      <c r="FX39" s="292"/>
      <c r="FY39" s="292"/>
      <c r="FZ39" s="292"/>
      <c r="GA39" s="207"/>
      <c r="GB39" s="207"/>
      <c r="GC39" s="292"/>
      <c r="GD39" s="292"/>
      <c r="GE39" s="292"/>
      <c r="GF39" s="292"/>
      <c r="GG39" s="292"/>
      <c r="GH39" s="292"/>
      <c r="GI39" s="292"/>
      <c r="GJ39" s="292"/>
      <c r="GK39" s="292"/>
      <c r="GL39" s="292"/>
      <c r="GM39" s="292"/>
      <c r="GN39" s="207"/>
      <c r="GO39" s="207"/>
      <c r="GP39" s="292"/>
      <c r="GQ39" s="292"/>
      <c r="GR39" s="292"/>
      <c r="GS39" s="292"/>
      <c r="GT39" s="292"/>
      <c r="GU39" s="292"/>
      <c r="GV39" s="292"/>
      <c r="GW39" s="292"/>
      <c r="GX39" s="292"/>
      <c r="GY39" s="292"/>
      <c r="GZ39" s="292"/>
      <c r="HA39" s="207"/>
      <c r="HB39" s="207"/>
      <c r="HC39" s="292"/>
      <c r="HD39" s="292"/>
      <c r="HE39" s="292"/>
      <c r="HF39" s="292"/>
      <c r="HG39" s="292"/>
      <c r="HH39" s="292"/>
      <c r="HI39" s="292"/>
      <c r="HJ39" s="292"/>
      <c r="HK39" s="292"/>
      <c r="HL39" s="292"/>
      <c r="HM39" s="292"/>
      <c r="HN39" s="207"/>
      <c r="HO39" s="207"/>
      <c r="HP39" s="292"/>
      <c r="HQ39" s="292"/>
      <c r="HR39" s="292"/>
      <c r="HS39" s="292"/>
      <c r="HT39" s="292"/>
      <c r="HU39" s="292"/>
      <c r="HV39" s="292"/>
      <c r="HW39" s="292"/>
      <c r="HX39" s="292"/>
      <c r="HY39" s="292"/>
      <c r="HZ39" s="292"/>
      <c r="IA39" s="207"/>
      <c r="IB39" s="207"/>
      <c r="IC39" s="292"/>
      <c r="ID39" s="292"/>
      <c r="IE39" s="292"/>
      <c r="IF39" s="292"/>
      <c r="IG39" s="292"/>
      <c r="IH39" s="292"/>
      <c r="II39" s="292"/>
      <c r="IJ39" s="292"/>
      <c r="IK39" s="292"/>
      <c r="IL39" s="292"/>
      <c r="IM39" s="292"/>
      <c r="IN39" s="207"/>
      <c r="IO39" s="207"/>
      <c r="IP39" s="292"/>
      <c r="IQ39" s="292"/>
      <c r="IR39" s="292"/>
      <c r="IS39" s="292"/>
      <c r="IT39" s="292"/>
      <c r="IU39" s="292"/>
      <c r="IV39" s="292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07"/>
      <c r="AB40" s="207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07"/>
      <c r="AO40" s="207"/>
      <c r="AP40" s="292"/>
      <c r="AQ40" s="292"/>
      <c r="AR40" s="292"/>
      <c r="AS40" s="292"/>
      <c r="AT40" s="292"/>
      <c r="AU40" s="292"/>
      <c r="AV40" s="292"/>
      <c r="AW40" s="292"/>
      <c r="AX40" s="292"/>
      <c r="AY40" s="292"/>
      <c r="AZ40" s="292"/>
      <c r="BA40" s="207"/>
      <c r="BB40" s="207"/>
      <c r="BC40" s="292"/>
      <c r="BD40" s="292"/>
      <c r="BE40" s="292"/>
      <c r="BF40" s="292"/>
      <c r="BG40" s="292"/>
      <c r="BH40" s="292"/>
      <c r="BI40" s="292"/>
      <c r="BJ40" s="292"/>
      <c r="BK40" s="292"/>
      <c r="BL40" s="292"/>
      <c r="BM40" s="292"/>
      <c r="BN40" s="207"/>
      <c r="BO40" s="207"/>
      <c r="BP40" s="292"/>
      <c r="BQ40" s="292"/>
      <c r="BR40" s="292"/>
      <c r="BS40" s="292"/>
      <c r="BT40" s="292"/>
      <c r="BU40" s="292"/>
      <c r="BV40" s="292"/>
      <c r="BW40" s="292"/>
      <c r="BX40" s="292"/>
      <c r="BY40" s="292"/>
      <c r="BZ40" s="292"/>
      <c r="CA40" s="207"/>
      <c r="CB40" s="207"/>
      <c r="CC40" s="292"/>
      <c r="CD40" s="292"/>
      <c r="CE40" s="292"/>
      <c r="CF40" s="292"/>
      <c r="CG40" s="292"/>
      <c r="CH40" s="292"/>
      <c r="CI40" s="292"/>
      <c r="CJ40" s="292"/>
      <c r="CK40" s="292"/>
      <c r="CL40" s="292"/>
      <c r="CM40" s="292"/>
      <c r="CN40" s="207"/>
      <c r="CO40" s="207"/>
      <c r="CP40" s="292"/>
      <c r="CQ40" s="292"/>
      <c r="CR40" s="292"/>
      <c r="CS40" s="292"/>
      <c r="CT40" s="292"/>
      <c r="CU40" s="292"/>
      <c r="CV40" s="292"/>
      <c r="CW40" s="292"/>
      <c r="CX40" s="292"/>
      <c r="CY40" s="292"/>
      <c r="CZ40" s="292"/>
      <c r="DA40" s="207"/>
      <c r="DB40" s="207"/>
      <c r="DC40" s="292"/>
      <c r="DD40" s="292"/>
      <c r="DE40" s="292"/>
      <c r="DF40" s="292"/>
      <c r="DG40" s="292"/>
      <c r="DH40" s="292"/>
      <c r="DI40" s="292"/>
      <c r="DJ40" s="292"/>
      <c r="DK40" s="292"/>
      <c r="DL40" s="292"/>
      <c r="DM40" s="292"/>
      <c r="DN40" s="207"/>
      <c r="DO40" s="207"/>
      <c r="DP40" s="292"/>
      <c r="DQ40" s="292"/>
      <c r="DR40" s="292"/>
      <c r="DS40" s="292"/>
      <c r="DT40" s="292"/>
      <c r="DU40" s="292"/>
      <c r="DV40" s="292"/>
      <c r="DW40" s="292"/>
      <c r="DX40" s="292"/>
      <c r="DY40" s="292"/>
      <c r="DZ40" s="292"/>
      <c r="EA40" s="207"/>
      <c r="EB40" s="207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07"/>
      <c r="EO40" s="207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07"/>
      <c r="FB40" s="207"/>
      <c r="FC40" s="292"/>
      <c r="FD40" s="292"/>
      <c r="FE40" s="292"/>
      <c r="FF40" s="292"/>
      <c r="FG40" s="292"/>
      <c r="FH40" s="292"/>
      <c r="FI40" s="292"/>
      <c r="FJ40" s="292"/>
      <c r="FK40" s="292"/>
      <c r="FL40" s="292"/>
      <c r="FM40" s="292"/>
      <c r="FN40" s="207"/>
      <c r="FO40" s="207"/>
      <c r="FP40" s="292"/>
      <c r="FQ40" s="292"/>
      <c r="FR40" s="292"/>
      <c r="FS40" s="292"/>
      <c r="FT40" s="292"/>
      <c r="FU40" s="292"/>
      <c r="FV40" s="292"/>
      <c r="FW40" s="292"/>
      <c r="FX40" s="292"/>
      <c r="FY40" s="292"/>
      <c r="FZ40" s="292"/>
      <c r="GA40" s="207"/>
      <c r="GB40" s="207"/>
      <c r="GC40" s="292"/>
      <c r="GD40" s="292"/>
      <c r="GE40" s="292"/>
      <c r="GF40" s="292"/>
      <c r="GG40" s="292"/>
      <c r="GH40" s="292"/>
      <c r="GI40" s="292"/>
      <c r="GJ40" s="292"/>
      <c r="GK40" s="292"/>
      <c r="GL40" s="292"/>
      <c r="GM40" s="292"/>
      <c r="GN40" s="207"/>
      <c r="GO40" s="207"/>
      <c r="GP40" s="292"/>
      <c r="GQ40" s="292"/>
      <c r="GR40" s="292"/>
      <c r="GS40" s="292"/>
      <c r="GT40" s="292"/>
      <c r="GU40" s="292"/>
      <c r="GV40" s="292"/>
      <c r="GW40" s="292"/>
      <c r="GX40" s="292"/>
      <c r="GY40" s="292"/>
      <c r="GZ40" s="292"/>
      <c r="HA40" s="207"/>
      <c r="HB40" s="207"/>
      <c r="HC40" s="292"/>
      <c r="HD40" s="292"/>
      <c r="HE40" s="292"/>
      <c r="HF40" s="292"/>
      <c r="HG40" s="292"/>
      <c r="HH40" s="292"/>
      <c r="HI40" s="292"/>
      <c r="HJ40" s="292"/>
      <c r="HK40" s="292"/>
      <c r="HL40" s="292"/>
      <c r="HM40" s="292"/>
      <c r="HN40" s="207"/>
      <c r="HO40" s="207"/>
      <c r="HP40" s="292"/>
      <c r="HQ40" s="292"/>
      <c r="HR40" s="292"/>
      <c r="HS40" s="292"/>
      <c r="HT40" s="292"/>
      <c r="HU40" s="292"/>
      <c r="HV40" s="292"/>
      <c r="HW40" s="292"/>
      <c r="HX40" s="292"/>
      <c r="HY40" s="292"/>
      <c r="HZ40" s="292"/>
      <c r="IA40" s="207"/>
      <c r="IB40" s="207"/>
      <c r="IC40" s="292"/>
      <c r="ID40" s="292"/>
      <c r="IE40" s="292"/>
      <c r="IF40" s="292"/>
      <c r="IG40" s="292"/>
      <c r="IH40" s="292"/>
      <c r="II40" s="292"/>
      <c r="IJ40" s="292"/>
      <c r="IK40" s="292"/>
      <c r="IL40" s="292"/>
      <c r="IM40" s="292"/>
      <c r="IN40" s="207"/>
      <c r="IO40" s="207"/>
      <c r="IP40" s="292"/>
      <c r="IQ40" s="292"/>
      <c r="IR40" s="292"/>
      <c r="IS40" s="292"/>
      <c r="IT40" s="292"/>
      <c r="IU40" s="292"/>
      <c r="IV40" s="292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9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1" t="s">
        <v>848</v>
      </c>
      <c r="B72" s="291"/>
      <c r="C72" s="291"/>
      <c r="D72" s="291"/>
      <c r="E72" s="29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</row>
    <row r="74" spans="1:13" x14ac:dyDescent="0.2">
      <c r="A74" s="211"/>
      <c r="B74" s="211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</row>
    <row r="75" spans="1:13" x14ac:dyDescent="0.2">
      <c r="A75" s="211"/>
      <c r="B75" s="211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</row>
    <row r="76" spans="1:13" x14ac:dyDescent="0.2">
      <c r="A76" s="211"/>
      <c r="B76" s="211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</row>
    <row r="77" spans="1:13" x14ac:dyDescent="0.2">
      <c r="A77" s="211"/>
      <c r="B77" s="211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</row>
    <row r="78" spans="1:13" x14ac:dyDescent="0.2">
      <c r="A78" s="211"/>
      <c r="B78" s="211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</row>
    <row r="79" spans="1:13" x14ac:dyDescent="0.2">
      <c r="A79" s="211"/>
      <c r="B79" s="211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</row>
    <row r="80" spans="1:13" x14ac:dyDescent="0.2">
      <c r="A80" s="211"/>
      <c r="B80" s="211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</row>
    <row r="81" spans="1:13" x14ac:dyDescent="0.2">
      <c r="A81" s="211"/>
      <c r="B81" s="211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</row>
    <row r="82" spans="1:13" x14ac:dyDescent="0.2">
      <c r="A82" s="211"/>
      <c r="B82" s="211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</row>
    <row r="83" spans="1:13" x14ac:dyDescent="0.2">
      <c r="A83" s="211"/>
      <c r="B83" s="211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</row>
    <row r="84" spans="1:13" x14ac:dyDescent="0.2">
      <c r="A84" s="211"/>
      <c r="B84" s="211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</row>
    <row r="85" spans="1:13" x14ac:dyDescent="0.2">
      <c r="A85" s="211"/>
      <c r="B85" s="211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</row>
    <row r="86" spans="1:13" x14ac:dyDescent="0.2">
      <c r="A86" s="211"/>
      <c r="B86" s="211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</row>
    <row r="87" spans="1:13" x14ac:dyDescent="0.2">
      <c r="A87" s="211"/>
      <c r="B87" s="211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</row>
    <row r="88" spans="1:13" x14ac:dyDescent="0.2">
      <c r="A88" s="211"/>
      <c r="B88" s="211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</row>
    <row r="89" spans="1:13" x14ac:dyDescent="0.2">
      <c r="A89" s="211"/>
      <c r="B89" s="211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</row>
    <row r="90" spans="1:13" x14ac:dyDescent="0.2">
      <c r="A90" s="211"/>
      <c r="B90" s="211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2013-11-14T17:38:10Z</cp:lastPrinted>
  <dcterms:created xsi:type="dcterms:W3CDTF">1997-12-04T19:04:30Z</dcterms:created>
  <dcterms:modified xsi:type="dcterms:W3CDTF">2013-11-14T17:38:12Z</dcterms:modified>
</cp:coreProperties>
</file>