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B0A" lockStructure="1"/>
  <bookViews>
    <workbookView xWindow="45" yWindow="0" windowWidth="24525" windowHeight="15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2" i="1" l="1"/>
  <c r="C19" i="12"/>
  <c r="C20" i="12"/>
  <c r="B19" i="12"/>
  <c r="B20" i="12"/>
  <c r="C21" i="12"/>
  <c r="B21" i="12"/>
  <c r="C10" i="12"/>
  <c r="B10" i="12"/>
  <c r="C12" i="12"/>
  <c r="B12" i="12"/>
  <c r="C11" i="12"/>
  <c r="B11" i="12"/>
  <c r="D11" i="13"/>
  <c r="D9" i="13"/>
  <c r="G611" i="1"/>
  <c r="F612" i="1"/>
  <c r="G612" i="1"/>
  <c r="G610" i="1"/>
  <c r="F611" i="1"/>
  <c r="F610" i="1"/>
  <c r="J527" i="1"/>
  <c r="J526" i="1"/>
  <c r="J525" i="1"/>
  <c r="I527" i="1"/>
  <c r="I526" i="1"/>
  <c r="I525" i="1"/>
  <c r="H527" i="1"/>
  <c r="H526" i="1"/>
  <c r="H525" i="1"/>
  <c r="G527" i="1"/>
  <c r="G526" i="1"/>
  <c r="G525" i="1"/>
  <c r="F527" i="1"/>
  <c r="F526" i="1"/>
  <c r="F525" i="1"/>
  <c r="G522" i="1"/>
  <c r="G521" i="1"/>
  <c r="G520" i="1"/>
  <c r="F522" i="1"/>
  <c r="F521" i="1"/>
  <c r="F520" i="1"/>
  <c r="H511" i="1"/>
  <c r="H516" i="1"/>
  <c r="I515" i="1"/>
  <c r="F511" i="1"/>
  <c r="F516" i="1"/>
  <c r="G515" i="1"/>
  <c r="F498" i="1"/>
  <c r="F497" i="1"/>
  <c r="H366" i="1"/>
  <c r="G366" i="1"/>
  <c r="F366" i="1"/>
  <c r="H359" i="1"/>
  <c r="H358" i="1"/>
  <c r="H357" i="1"/>
  <c r="F276" i="1"/>
  <c r="G276" i="1"/>
  <c r="I318" i="1"/>
  <c r="I319" i="1"/>
  <c r="H324" i="1"/>
  <c r="I300" i="1"/>
  <c r="I281" i="1"/>
  <c r="J275" i="1"/>
  <c r="I275" i="1"/>
  <c r="H275" i="1"/>
  <c r="G275" i="1"/>
  <c r="F275" i="1"/>
  <c r="G219" i="1"/>
  <c r="H202" i="1"/>
  <c r="H207" i="1"/>
  <c r="F206" i="1"/>
  <c r="F204" i="1"/>
  <c r="F197" i="1"/>
  <c r="F196" i="1"/>
  <c r="I243" i="1"/>
  <c r="H243" i="1"/>
  <c r="G243" i="1"/>
  <c r="F243" i="1"/>
  <c r="I225" i="1"/>
  <c r="H225" i="1"/>
  <c r="G225" i="1"/>
  <c r="F225" i="1"/>
  <c r="I207" i="1"/>
  <c r="G207" i="1"/>
  <c r="F207" i="1"/>
  <c r="I242" i="1"/>
  <c r="H242" i="1"/>
  <c r="G242" i="1"/>
  <c r="F242" i="1"/>
  <c r="I224" i="1"/>
  <c r="H224" i="1"/>
  <c r="G224" i="1"/>
  <c r="F224" i="1"/>
  <c r="I206" i="1"/>
  <c r="H206" i="1"/>
  <c r="G206" i="1"/>
  <c r="H239" i="1"/>
  <c r="H221" i="1"/>
  <c r="H203" i="1"/>
  <c r="K238" i="1"/>
  <c r="J238" i="1"/>
  <c r="I238" i="1"/>
  <c r="H238" i="1"/>
  <c r="G238" i="1"/>
  <c r="F238" i="1"/>
  <c r="K220" i="1"/>
  <c r="J220" i="1"/>
  <c r="I220" i="1"/>
  <c r="H220" i="1"/>
  <c r="G220" i="1"/>
  <c r="F220" i="1"/>
  <c r="K202" i="1"/>
  <c r="J202" i="1"/>
  <c r="I202" i="1"/>
  <c r="G202" i="1"/>
  <c r="F202" i="1"/>
  <c r="J237" i="1"/>
  <c r="I237" i="1"/>
  <c r="H237" i="1"/>
  <c r="G237" i="1"/>
  <c r="F237" i="1"/>
  <c r="J219" i="1"/>
  <c r="I219" i="1"/>
  <c r="H219" i="1"/>
  <c r="F219" i="1"/>
  <c r="J201" i="1"/>
  <c r="I201" i="1"/>
  <c r="H201" i="1"/>
  <c r="G201" i="1"/>
  <c r="F201" i="1"/>
  <c r="J233" i="1"/>
  <c r="I233" i="1"/>
  <c r="H233" i="1"/>
  <c r="G233" i="1"/>
  <c r="F233" i="1"/>
  <c r="J215" i="1"/>
  <c r="I215" i="1"/>
  <c r="H215" i="1"/>
  <c r="G215" i="1"/>
  <c r="F215" i="1"/>
  <c r="J197" i="1"/>
  <c r="I197" i="1"/>
  <c r="H197" i="1"/>
  <c r="G197" i="1"/>
  <c r="J232" i="1"/>
  <c r="H232" i="1"/>
  <c r="G232" i="1"/>
  <c r="F232" i="1"/>
  <c r="J214" i="1"/>
  <c r="H214" i="1"/>
  <c r="G214" i="1"/>
  <c r="F214" i="1"/>
  <c r="J196" i="1"/>
  <c r="I196" i="1"/>
  <c r="H196" i="1"/>
  <c r="G196" i="1"/>
  <c r="L275" i="1"/>
  <c r="L276" i="1"/>
  <c r="L281" i="1"/>
  <c r="L278" i="1"/>
  <c r="L280" i="1"/>
  <c r="L282" i="1"/>
  <c r="L286" i="1"/>
  <c r="L277" i="1"/>
  <c r="L283" i="1"/>
  <c r="L284" i="1"/>
  <c r="L285" i="1"/>
  <c r="L287" i="1"/>
  <c r="L289" i="1"/>
  <c r="L295" i="1"/>
  <c r="L300" i="1"/>
  <c r="L294" i="1"/>
  <c r="L297" i="1"/>
  <c r="L299" i="1"/>
  <c r="L301" i="1"/>
  <c r="L305" i="1"/>
  <c r="L296" i="1"/>
  <c r="L302" i="1"/>
  <c r="L303" i="1"/>
  <c r="L304" i="1"/>
  <c r="L306" i="1"/>
  <c r="L308" i="1"/>
  <c r="L314" i="1"/>
  <c r="L319" i="1"/>
  <c r="L313" i="1"/>
  <c r="L316" i="1"/>
  <c r="L318" i="1"/>
  <c r="L320" i="1"/>
  <c r="L324" i="1"/>
  <c r="L315" i="1"/>
  <c r="L321" i="1"/>
  <c r="L322" i="1"/>
  <c r="L323" i="1"/>
  <c r="L325" i="1"/>
  <c r="L327" i="1"/>
  <c r="I336" i="1"/>
  <c r="K336" i="1"/>
  <c r="J336" i="1"/>
  <c r="F336" i="1"/>
  <c r="G336" i="1"/>
  <c r="H336" i="1"/>
  <c r="L336" i="1"/>
  <c r="L337" i="1"/>
  <c r="L340" i="1"/>
  <c r="L341" i="1"/>
  <c r="L343" i="1"/>
  <c r="L344" i="1"/>
  <c r="L345" i="1"/>
  <c r="L346" i="1"/>
  <c r="L348" i="1"/>
  <c r="L349" i="1"/>
  <c r="L350" i="1"/>
  <c r="L351" i="1"/>
  <c r="H471" i="1"/>
  <c r="L357" i="1"/>
  <c r="L358" i="1"/>
  <c r="L359" i="1"/>
  <c r="L360" i="1"/>
  <c r="L361" i="1"/>
  <c r="G471" i="1"/>
  <c r="L207" i="1"/>
  <c r="L202" i="1"/>
  <c r="L196" i="1"/>
  <c r="L197" i="1"/>
  <c r="L201" i="1"/>
  <c r="L203" i="1"/>
  <c r="L205" i="1"/>
  <c r="L206" i="1"/>
  <c r="L204" i="1"/>
  <c r="L198" i="1"/>
  <c r="L199" i="1"/>
  <c r="L208" i="1"/>
  <c r="L210" i="1"/>
  <c r="L219" i="1"/>
  <c r="L220" i="1"/>
  <c r="L222" i="1"/>
  <c r="L225" i="1"/>
  <c r="L215" i="1"/>
  <c r="L224" i="1"/>
  <c r="L214" i="1"/>
  <c r="L221" i="1"/>
  <c r="L223" i="1"/>
  <c r="L216" i="1"/>
  <c r="L217" i="1"/>
  <c r="L226" i="1"/>
  <c r="L228" i="1"/>
  <c r="L244" i="1"/>
  <c r="L242" i="1"/>
  <c r="L232" i="1"/>
  <c r="L233" i="1"/>
  <c r="L237" i="1"/>
  <c r="L238" i="1"/>
  <c r="L239" i="1"/>
  <c r="L241" i="1"/>
  <c r="L243" i="1"/>
  <c r="L234" i="1"/>
  <c r="L235" i="1"/>
  <c r="L240" i="1"/>
  <c r="L246" i="1"/>
  <c r="F255" i="1"/>
  <c r="G255" i="1"/>
  <c r="H255" i="1"/>
  <c r="I255" i="1"/>
  <c r="J255" i="1"/>
  <c r="K255" i="1"/>
  <c r="L255" i="1"/>
  <c r="L256" i="1"/>
  <c r="K269" i="1"/>
  <c r="F269" i="1"/>
  <c r="G269" i="1"/>
  <c r="H269" i="1"/>
  <c r="I269" i="1"/>
  <c r="J269" i="1"/>
  <c r="L269" i="1"/>
  <c r="L270" i="1"/>
  <c r="F471" i="1"/>
  <c r="L412" i="1"/>
  <c r="L413" i="1"/>
  <c r="L414" i="1"/>
  <c r="L415" i="1"/>
  <c r="L416" i="1"/>
  <c r="L417" i="1"/>
  <c r="L418" i="1"/>
  <c r="L420" i="1"/>
  <c r="L421" i="1"/>
  <c r="L422" i="1"/>
  <c r="L423" i="1"/>
  <c r="L424" i="1"/>
  <c r="L425" i="1"/>
  <c r="L426" i="1"/>
  <c r="L428" i="1"/>
  <c r="L429" i="1"/>
  <c r="L430" i="1"/>
  <c r="L431" i="1"/>
  <c r="L432" i="1"/>
  <c r="L433" i="1"/>
  <c r="J471" i="1"/>
  <c r="L386" i="1"/>
  <c r="L387" i="1"/>
  <c r="L388" i="1"/>
  <c r="L389" i="1"/>
  <c r="L390" i="1"/>
  <c r="L391" i="1"/>
  <c r="L392" i="1"/>
  <c r="L394" i="1"/>
  <c r="L395" i="1"/>
  <c r="L396" i="1"/>
  <c r="L397" i="1"/>
  <c r="L398" i="1"/>
  <c r="L399" i="1"/>
  <c r="L400" i="1"/>
  <c r="L402" i="1"/>
  <c r="L403" i="1"/>
  <c r="L404" i="1"/>
  <c r="L405" i="1"/>
  <c r="L406" i="1"/>
  <c r="L407" i="1"/>
  <c r="J467" i="1"/>
  <c r="H59" i="1"/>
  <c r="H78" i="1"/>
  <c r="H93" i="1"/>
  <c r="H101" i="1"/>
  <c r="H109" i="1"/>
  <c r="H110" i="1"/>
  <c r="H111" i="1"/>
  <c r="H120" i="1"/>
  <c r="H135" i="1"/>
  <c r="H139" i="1"/>
  <c r="H146" i="1"/>
  <c r="H153" i="1"/>
  <c r="H154" i="1"/>
  <c r="H158" i="1"/>
  <c r="H161" i="1"/>
  <c r="H168" i="1"/>
  <c r="H182" i="1"/>
  <c r="H187" i="1"/>
  <c r="H191" i="1"/>
  <c r="H192" i="1"/>
  <c r="H467" i="1"/>
  <c r="G59" i="1"/>
  <c r="G110" i="1"/>
  <c r="G111" i="1"/>
  <c r="G120" i="1"/>
  <c r="G131" i="1"/>
  <c r="G135" i="1"/>
  <c r="G139" i="1"/>
  <c r="G146" i="1"/>
  <c r="G157" i="1"/>
  <c r="G161" i="1"/>
  <c r="G168" i="1"/>
  <c r="G182" i="1"/>
  <c r="G187" i="1"/>
  <c r="G191" i="1"/>
  <c r="G192" i="1"/>
  <c r="G467" i="1"/>
  <c r="F59" i="1"/>
  <c r="F78" i="1"/>
  <c r="F93" i="1"/>
  <c r="F97" i="1"/>
  <c r="F110" i="1"/>
  <c r="F111" i="1"/>
  <c r="F120" i="1"/>
  <c r="F135" i="1"/>
  <c r="F139" i="1"/>
  <c r="F146" i="1"/>
  <c r="F161" i="1"/>
  <c r="F168" i="1"/>
  <c r="F176" i="1"/>
  <c r="F182" i="1"/>
  <c r="F187" i="1"/>
  <c r="F191" i="1"/>
  <c r="F192" i="1"/>
  <c r="F467" i="1"/>
  <c r="G438" i="1"/>
  <c r="H30" i="1"/>
  <c r="H24" i="1"/>
  <c r="H22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D39" i="13"/>
  <c r="F13" i="13"/>
  <c r="G13" i="13"/>
  <c r="F16" i="13"/>
  <c r="G16" i="13"/>
  <c r="F5" i="13"/>
  <c r="G5" i="13"/>
  <c r="C10" i="10"/>
  <c r="C109" i="2"/>
  <c r="F6" i="13"/>
  <c r="G6" i="13"/>
  <c r="D6" i="13"/>
  <c r="C6" i="13"/>
  <c r="C15" i="10"/>
  <c r="F7" i="13"/>
  <c r="G7" i="13"/>
  <c r="D7" i="13"/>
  <c r="C7" i="13"/>
  <c r="F12" i="13"/>
  <c r="G12" i="13"/>
  <c r="F14" i="13"/>
  <c r="G14" i="13"/>
  <c r="C122" i="2"/>
  <c r="F15" i="13"/>
  <c r="G15" i="13"/>
  <c r="G661" i="1"/>
  <c r="G650" i="1"/>
  <c r="J597" i="1"/>
  <c r="H650" i="1"/>
  <c r="J650" i="1"/>
  <c r="F17" i="13"/>
  <c r="G17" i="13"/>
  <c r="L250" i="1"/>
  <c r="F18" i="13"/>
  <c r="G18" i="13"/>
  <c r="L251" i="1"/>
  <c r="F19" i="13"/>
  <c r="G19" i="13"/>
  <c r="L252" i="1"/>
  <c r="F29" i="13"/>
  <c r="G29" i="13"/>
  <c r="I366" i="1"/>
  <c r="J289" i="1"/>
  <c r="J308" i="1"/>
  <c r="J327" i="1"/>
  <c r="K289" i="1"/>
  <c r="K308" i="1"/>
  <c r="K327" i="1"/>
  <c r="L332" i="1"/>
  <c r="L333" i="1"/>
  <c r="L334" i="1"/>
  <c r="L259" i="1"/>
  <c r="L260" i="1"/>
  <c r="L254" i="1"/>
  <c r="L335" i="1"/>
  <c r="C11" i="13"/>
  <c r="C10" i="13"/>
  <c r="C9" i="13"/>
  <c r="B4" i="12"/>
  <c r="B36" i="12"/>
  <c r="B40" i="12"/>
  <c r="C40" i="12"/>
  <c r="C36" i="12"/>
  <c r="A40" i="12"/>
  <c r="B27" i="12"/>
  <c r="C27" i="12"/>
  <c r="B31" i="12"/>
  <c r="C31" i="12"/>
  <c r="B9" i="12"/>
  <c r="B13" i="12"/>
  <c r="C13" i="12"/>
  <c r="C9" i="12"/>
  <c r="A13" i="12"/>
  <c r="B18" i="12"/>
  <c r="B22" i="12"/>
  <c r="C18" i="12"/>
  <c r="C22" i="12"/>
  <c r="B1" i="12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I59" i="1"/>
  <c r="C56" i="2"/>
  <c r="I110" i="1"/>
  <c r="I111" i="1"/>
  <c r="J110" i="1"/>
  <c r="J111" i="1"/>
  <c r="I120" i="1"/>
  <c r="I135" i="1"/>
  <c r="J120" i="1"/>
  <c r="J135" i="1"/>
  <c r="I146" i="1"/>
  <c r="I161" i="1"/>
  <c r="C12" i="10"/>
  <c r="C17" i="10"/>
  <c r="C19" i="10"/>
  <c r="L249" i="1"/>
  <c r="L331" i="1"/>
  <c r="C23" i="10"/>
  <c r="L253" i="1"/>
  <c r="C25" i="10"/>
  <c r="L267" i="1"/>
  <c r="L268" i="1"/>
  <c r="I664" i="1"/>
  <c r="I669" i="1"/>
  <c r="F660" i="1"/>
  <c r="G660" i="1"/>
  <c r="H660" i="1"/>
  <c r="I660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E12" i="2"/>
  <c r="E13" i="2"/>
  <c r="E15" i="2"/>
  <c r="E16" i="2"/>
  <c r="E17" i="2"/>
  <c r="E18" i="2"/>
  <c r="F11" i="2"/>
  <c r="I440" i="1"/>
  <c r="J12" i="1"/>
  <c r="G11" i="2"/>
  <c r="C12" i="2"/>
  <c r="D12" i="2"/>
  <c r="F12" i="2"/>
  <c r="I441" i="1"/>
  <c r="J13" i="1"/>
  <c r="G12" i="2"/>
  <c r="C13" i="2"/>
  <c r="D13" i="2"/>
  <c r="F13" i="2"/>
  <c r="I442" i="1"/>
  <c r="J14" i="1"/>
  <c r="G13" i="2"/>
  <c r="F14" i="2"/>
  <c r="C15" i="2"/>
  <c r="D15" i="2"/>
  <c r="F15" i="2"/>
  <c r="C16" i="2"/>
  <c r="D16" i="2"/>
  <c r="F16" i="2"/>
  <c r="I443" i="1"/>
  <c r="J17" i="1"/>
  <c r="C17" i="2"/>
  <c r="D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F23" i="2"/>
  <c r="F24" i="2"/>
  <c r="F25" i="2"/>
  <c r="F26" i="2"/>
  <c r="F27" i="2"/>
  <c r="F28" i="2"/>
  <c r="F29" i="2"/>
  <c r="F30" i="2"/>
  <c r="F31" i="2"/>
  <c r="I448" i="1"/>
  <c r="J23" i="1"/>
  <c r="C23" i="2"/>
  <c r="D23" i="2"/>
  <c r="E23" i="2"/>
  <c r="I449" i="1"/>
  <c r="J24" i="1"/>
  <c r="G23" i="2"/>
  <c r="C24" i="2"/>
  <c r="D24" i="2"/>
  <c r="E24" i="2"/>
  <c r="C25" i="2"/>
  <c r="C26" i="2"/>
  <c r="C27" i="2"/>
  <c r="D27" i="2"/>
  <c r="E27" i="2"/>
  <c r="C28" i="2"/>
  <c r="D28" i="2"/>
  <c r="E28" i="2"/>
  <c r="C29" i="2"/>
  <c r="D29" i="2"/>
  <c r="E29" i="2"/>
  <c r="C30" i="2"/>
  <c r="D30" i="2"/>
  <c r="E30" i="2"/>
  <c r="I450" i="1"/>
  <c r="J31" i="1"/>
  <c r="G30" i="2"/>
  <c r="C34" i="2"/>
  <c r="D34" i="2"/>
  <c r="E34" i="2"/>
  <c r="F34" i="2"/>
  <c r="C35" i="2"/>
  <c r="C48" i="2"/>
  <c r="C49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55" i="2"/>
  <c r="D55" i="2"/>
  <c r="E55" i="2"/>
  <c r="F55" i="2"/>
  <c r="E56" i="2"/>
  <c r="C57" i="2"/>
  <c r="E57" i="2"/>
  <c r="C58" i="2"/>
  <c r="D58" i="2"/>
  <c r="E58" i="2"/>
  <c r="F58" i="2"/>
  <c r="D59" i="2"/>
  <c r="D60" i="2"/>
  <c r="D61" i="2"/>
  <c r="D62" i="2"/>
  <c r="C60" i="2"/>
  <c r="E60" i="2"/>
  <c r="F60" i="2"/>
  <c r="C65" i="2"/>
  <c r="C66" i="2"/>
  <c r="C68" i="2"/>
  <c r="C69" i="2"/>
  <c r="D68" i="2"/>
  <c r="D69" i="2"/>
  <c r="E68" i="2"/>
  <c r="E69" i="2"/>
  <c r="F68" i="2"/>
  <c r="F69" i="2"/>
  <c r="G68" i="2"/>
  <c r="G69" i="2"/>
  <c r="C71" i="2"/>
  <c r="C72" i="2"/>
  <c r="C73" i="2"/>
  <c r="C74" i="2"/>
  <c r="C75" i="2"/>
  <c r="C76" i="2"/>
  <c r="C77" i="2"/>
  <c r="F71" i="2"/>
  <c r="F72" i="2"/>
  <c r="E75" i="2"/>
  <c r="F75" i="2"/>
  <c r="D76" i="2"/>
  <c r="D77" i="2"/>
  <c r="E76" i="2"/>
  <c r="E77" i="2"/>
  <c r="E78" i="2"/>
  <c r="E79" i="2"/>
  <c r="E80" i="2"/>
  <c r="F76" i="2"/>
  <c r="G76" i="2"/>
  <c r="G77" i="2"/>
  <c r="C78" i="2"/>
  <c r="D78" i="2"/>
  <c r="C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96" i="2"/>
  <c r="G97" i="2"/>
  <c r="G102" i="2"/>
  <c r="C96" i="2"/>
  <c r="D96" i="2"/>
  <c r="E96" i="2"/>
  <c r="F96" i="2"/>
  <c r="C97" i="2"/>
  <c r="D97" i="2"/>
  <c r="E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C119" i="2"/>
  <c r="E119" i="2"/>
  <c r="C120" i="2"/>
  <c r="E120" i="2"/>
  <c r="C121" i="2"/>
  <c r="E121" i="2"/>
  <c r="E122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/>
  <c r="H19" i="1"/>
  <c r="G618" i="1"/>
  <c r="I19" i="1"/>
  <c r="G619" i="1"/>
  <c r="F32" i="1"/>
  <c r="G32" i="1"/>
  <c r="H32" i="1"/>
  <c r="I32" i="1"/>
  <c r="F50" i="1"/>
  <c r="F51" i="1"/>
  <c r="H616" i="1"/>
  <c r="G50" i="1"/>
  <c r="G51" i="1"/>
  <c r="H617" i="1"/>
  <c r="H50" i="1"/>
  <c r="H51" i="1"/>
  <c r="H618" i="1"/>
  <c r="I50" i="1"/>
  <c r="I51" i="1"/>
  <c r="H619" i="1"/>
  <c r="I176" i="1"/>
  <c r="I182" i="1"/>
  <c r="J182" i="1"/>
  <c r="J191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I256" i="1"/>
  <c r="I270" i="1"/>
  <c r="J246" i="1"/>
  <c r="K246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J337" i="1"/>
  <c r="J351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F418" i="1"/>
  <c r="G418" i="1"/>
  <c r="H418" i="1"/>
  <c r="I418" i="1"/>
  <c r="J418" i="1"/>
  <c r="F426" i="1"/>
  <c r="G426" i="1"/>
  <c r="H426" i="1"/>
  <c r="I426" i="1"/>
  <c r="J426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G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/>
  <c r="G648" i="1"/>
  <c r="J648" i="1"/>
  <c r="G651" i="1"/>
  <c r="H651" i="1"/>
  <c r="G652" i="1"/>
  <c r="H652" i="1"/>
  <c r="G653" i="1"/>
  <c r="H653" i="1"/>
  <c r="H654" i="1"/>
  <c r="G256" i="1"/>
  <c r="G270" i="1"/>
  <c r="G163" i="2"/>
  <c r="G159" i="2"/>
  <c r="C18" i="2"/>
  <c r="C26" i="10"/>
  <c r="A31" i="12"/>
  <c r="G161" i="2"/>
  <c r="E49" i="2"/>
  <c r="D18" i="13"/>
  <c r="C18" i="13"/>
  <c r="F102" i="2"/>
  <c r="D18" i="2"/>
  <c r="D17" i="13"/>
  <c r="C17" i="13"/>
  <c r="E8" i="13"/>
  <c r="C8" i="13"/>
  <c r="G158" i="2"/>
  <c r="C90" i="2"/>
  <c r="G80" i="2"/>
  <c r="F77" i="2"/>
  <c r="F80" i="2"/>
  <c r="F61" i="2"/>
  <c r="F62" i="2"/>
  <c r="D31" i="2"/>
  <c r="D49" i="2"/>
  <c r="G156" i="2"/>
  <c r="F49" i="2"/>
  <c r="F18" i="2"/>
  <c r="G162" i="2"/>
  <c r="G160" i="2"/>
  <c r="G157" i="2"/>
  <c r="G155" i="2"/>
  <c r="E143" i="2"/>
  <c r="E114" i="2"/>
  <c r="E102" i="2"/>
  <c r="C102" i="2"/>
  <c r="D90" i="2"/>
  <c r="F90" i="2"/>
  <c r="E61" i="2"/>
  <c r="E62" i="2"/>
  <c r="C31" i="2"/>
  <c r="G61" i="2"/>
  <c r="D29" i="13"/>
  <c r="C29" i="13"/>
  <c r="D19" i="13"/>
  <c r="C19" i="13"/>
  <c r="E13" i="13"/>
  <c r="C13" i="13"/>
  <c r="J640" i="1"/>
  <c r="J638" i="1"/>
  <c r="K604" i="1"/>
  <c r="G647" i="1"/>
  <c r="J570" i="1"/>
  <c r="K570" i="1"/>
  <c r="D80" i="2"/>
  <c r="I168" i="1"/>
  <c r="G551" i="1"/>
  <c r="J643" i="1"/>
  <c r="J642" i="1"/>
  <c r="J475" i="1"/>
  <c r="H625" i="1"/>
  <c r="H475" i="1"/>
  <c r="H623" i="1"/>
  <c r="J623" i="1"/>
  <c r="F475" i="1"/>
  <c r="H621" i="1"/>
  <c r="I475" i="1"/>
  <c r="H624" i="1"/>
  <c r="J624" i="1"/>
  <c r="G475" i="1"/>
  <c r="H622" i="1"/>
  <c r="J622" i="1"/>
  <c r="G337" i="1"/>
  <c r="G351" i="1"/>
  <c r="J139" i="1"/>
  <c r="F570" i="1"/>
  <c r="I551" i="1"/>
  <c r="K548" i="1"/>
  <c r="K549" i="1"/>
  <c r="G22" i="2"/>
  <c r="K597" i="1"/>
  <c r="G646" i="1"/>
  <c r="K544" i="1"/>
  <c r="J551" i="1"/>
  <c r="H551" i="1"/>
  <c r="C29" i="10"/>
  <c r="C138" i="2"/>
  <c r="F22" i="13"/>
  <c r="C22" i="13"/>
  <c r="H25" i="13"/>
  <c r="C25" i="13"/>
  <c r="J639" i="1"/>
  <c r="J633" i="1"/>
  <c r="H570" i="1"/>
  <c r="L559" i="1"/>
  <c r="J544" i="1"/>
  <c r="H337" i="1"/>
  <c r="H351" i="1"/>
  <c r="F337" i="1"/>
  <c r="F351" i="1"/>
  <c r="E127" i="2"/>
  <c r="E144" i="2"/>
  <c r="F551" i="1"/>
  <c r="C35" i="10"/>
  <c r="E16" i="13"/>
  <c r="E33" i="13"/>
  <c r="D35" i="13"/>
  <c r="L569" i="1"/>
  <c r="I570" i="1"/>
  <c r="I544" i="1"/>
  <c r="G36" i="2"/>
  <c r="L564" i="1"/>
  <c r="G544" i="1"/>
  <c r="L544" i="1"/>
  <c r="H544" i="1"/>
  <c r="K550" i="1"/>
  <c r="K551" i="1"/>
  <c r="C137" i="2"/>
  <c r="C16" i="13"/>
  <c r="H33" i="13"/>
  <c r="K256" i="1"/>
  <c r="K270" i="1"/>
  <c r="J256" i="1"/>
  <c r="J270" i="1"/>
  <c r="H256" i="1"/>
  <c r="H270" i="1"/>
  <c r="D12" i="13"/>
  <c r="C12" i="13"/>
  <c r="C18" i="10"/>
  <c r="H661" i="1"/>
  <c r="I661" i="1"/>
  <c r="H659" i="1"/>
  <c r="F256" i="1"/>
  <c r="F270" i="1"/>
  <c r="C108" i="2"/>
  <c r="C123" i="2"/>
  <c r="H646" i="1"/>
  <c r="J646" i="1"/>
  <c r="G659" i="1"/>
  <c r="G663" i="1"/>
  <c r="G671" i="1"/>
  <c r="C5" i="10"/>
  <c r="D15" i="13"/>
  <c r="C15" i="13"/>
  <c r="G649" i="1"/>
  <c r="C21" i="10"/>
  <c r="C11" i="10"/>
  <c r="C20" i="10"/>
  <c r="C117" i="2"/>
  <c r="D14" i="13"/>
  <c r="C14" i="13"/>
  <c r="F659" i="1"/>
  <c r="F663" i="1"/>
  <c r="F671" i="1"/>
  <c r="C4" i="10"/>
  <c r="C16" i="10"/>
  <c r="C118" i="2"/>
  <c r="C111" i="2"/>
  <c r="C13" i="10"/>
  <c r="D5" i="13"/>
  <c r="C5" i="13"/>
  <c r="J654" i="1"/>
  <c r="C80" i="2"/>
  <c r="C36" i="10"/>
  <c r="C61" i="2"/>
  <c r="C62" i="2"/>
  <c r="F50" i="2"/>
  <c r="E31" i="2"/>
  <c r="E50" i="2"/>
  <c r="J621" i="1"/>
  <c r="C50" i="2"/>
  <c r="J616" i="1"/>
  <c r="L381" i="1"/>
  <c r="G635" i="1"/>
  <c r="J635" i="1"/>
  <c r="G632" i="1"/>
  <c r="J632" i="1"/>
  <c r="C24" i="10"/>
  <c r="G31" i="13"/>
  <c r="G33" i="13"/>
  <c r="I337" i="1"/>
  <c r="I351" i="1"/>
  <c r="J649" i="1"/>
  <c r="C139" i="2"/>
  <c r="C140" i="2"/>
  <c r="C143" i="2"/>
  <c r="L570" i="1"/>
  <c r="I191" i="1"/>
  <c r="E90" i="2"/>
  <c r="G636" i="1"/>
  <c r="J636" i="1"/>
  <c r="D50" i="2"/>
  <c r="J653" i="1"/>
  <c r="J652" i="1"/>
  <c r="F143" i="2"/>
  <c r="F144" i="2"/>
  <c r="G21" i="2"/>
  <c r="G31" i="2"/>
  <c r="J32" i="1"/>
  <c r="G637" i="1"/>
  <c r="J637" i="1"/>
  <c r="J433" i="1"/>
  <c r="F433" i="1"/>
  <c r="K433" i="1"/>
  <c r="G133" i="2"/>
  <c r="G143" i="2"/>
  <c r="G144" i="2"/>
  <c r="F31" i="13"/>
  <c r="J192" i="1"/>
  <c r="G645" i="1"/>
  <c r="F103" i="2"/>
  <c r="G628" i="1"/>
  <c r="J628" i="1"/>
  <c r="C39" i="10"/>
  <c r="G62" i="2"/>
  <c r="G103" i="2"/>
  <c r="J617" i="1"/>
  <c r="G42" i="2"/>
  <c r="J50" i="1"/>
  <c r="G16" i="2"/>
  <c r="J19" i="1"/>
  <c r="G620" i="1"/>
  <c r="F33" i="13"/>
  <c r="D31" i="13"/>
  <c r="C31" i="13"/>
  <c r="G18" i="2"/>
  <c r="F544" i="1"/>
  <c r="H433" i="1"/>
  <c r="J619" i="1"/>
  <c r="J618" i="1"/>
  <c r="D102" i="2"/>
  <c r="D103" i="2"/>
  <c r="I139" i="1"/>
  <c r="A22" i="12"/>
  <c r="H645" i="1"/>
  <c r="G49" i="2"/>
  <c r="G50" i="2"/>
  <c r="J651" i="1"/>
  <c r="J641" i="1"/>
  <c r="G570" i="1"/>
  <c r="I433" i="1"/>
  <c r="G433" i="1"/>
  <c r="E103" i="2"/>
  <c r="I662" i="1"/>
  <c r="C27" i="10"/>
  <c r="G634" i="1"/>
  <c r="J634" i="1"/>
  <c r="C114" i="2"/>
  <c r="H647" i="1"/>
  <c r="J647" i="1"/>
  <c r="H663" i="1"/>
  <c r="H671" i="1"/>
  <c r="C6" i="10" s="1"/>
  <c r="G666" i="1"/>
  <c r="C127" i="2"/>
  <c r="G631" i="1"/>
  <c r="J631" i="1"/>
  <c r="I659" i="1"/>
  <c r="I663" i="1"/>
  <c r="I671" i="1"/>
  <c r="C7" i="10" s="1"/>
  <c r="C28" i="10"/>
  <c r="D23" i="10"/>
  <c r="F666" i="1"/>
  <c r="I192" i="1"/>
  <c r="G629" i="1"/>
  <c r="J629" i="1"/>
  <c r="C103" i="2"/>
  <c r="G626" i="1"/>
  <c r="J626" i="1"/>
  <c r="G630" i="1"/>
  <c r="J630" i="1"/>
  <c r="D33" i="13"/>
  <c r="D36" i="13"/>
  <c r="J645" i="1"/>
  <c r="G627" i="1"/>
  <c r="J627" i="1"/>
  <c r="G625" i="1"/>
  <c r="J625" i="1"/>
  <c r="J51" i="1"/>
  <c r="H620" i="1"/>
  <c r="J620" i="1"/>
  <c r="C38" i="10"/>
  <c r="C144" i="2"/>
  <c r="D24" i="10"/>
  <c r="D22" i="10"/>
  <c r="D17" i="10"/>
  <c r="H666" i="1"/>
  <c r="D11" i="10"/>
  <c r="D27" i="10"/>
  <c r="D15" i="10"/>
  <c r="D16" i="10"/>
  <c r="D21" i="10"/>
  <c r="D19" i="10"/>
  <c r="D26" i="10"/>
  <c r="D12" i="10"/>
  <c r="D13" i="10"/>
  <c r="D25" i="10"/>
  <c r="D18" i="10"/>
  <c r="D20" i="10"/>
  <c r="D10" i="10"/>
  <c r="C30" i="10"/>
  <c r="I666" i="1"/>
  <c r="H655" i="1"/>
  <c r="C41" i="10"/>
  <c r="D38" i="10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<sst xmlns="http://schemas.openxmlformats.org/spreadsheetml/2006/main" count="3947" uniqueCount="913">
  <si>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</si>
  <si>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</si>
  <si>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</si>
  <si>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</si>
  <si>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</si>
  <si>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</si>
  <si>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</si>
  <si>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</si>
  <si>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</si>
  <si>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</si>
  <si>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</si>
  <si>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</si>
  <si>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</si>
  <si>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</si>
  <si>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</si>
  <si>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</si>
  <si>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</si>
  <si>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</si>
  <si>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</si>
  <si>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</si>
  <si>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</si>
  <si>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</si>
  <si>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</si>
  <si>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</si>
  <si>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</si>
  <si>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</si>
  <si>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</si>
  <si>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</si>
  <si>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</si>
  <si>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</si>
  <si>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</si>
  <si>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</si>
  <si>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</si>
  <si>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</si>
  <si>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</si>
  <si>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</si>
  <si>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</si>
  <si>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</si>
  <si>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</si>
  <si>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</si>
  <si>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</si>
  <si>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</si>
  <si>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</si>
  <si>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</si>
  <si>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</si>
  <si>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</si>
  <si>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</si>
  <si>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</si>
  <si>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</si>
  <si>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</si>
  <si>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</si>
  <si>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</si>
  <si>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</si>
  <si>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</si>
  <si>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</si>
  <si>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</si>
  <si>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</si>
  <si>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</si>
  <si>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</si>
  <si>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</si>
  <si>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</si>
  <si>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</si>
  <si>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</si>
  <si>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</si>
  <si>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</si>
  <si>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</si>
  <si>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</si>
  <si>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</si>
  <si>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</si>
  <si>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</si>
  <si>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</si>
  <si>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</si>
  <si>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</si>
  <si>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</si>
  <si>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</si>
  <si>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</si>
  <si>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</si>
  <si>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</si>
  <si>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</si>
  <si>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</si>
  <si>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</si>
  <si>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</si>
  <si>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</si>
  <si>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</si>
  <si>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</si>
  <si>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</si>
  <si>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</si>
  <si>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</si>
  <si>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</si>
  <si>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</si>
  <si>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</si>
  <si>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</si>
  <si>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</si>
  <si>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</si>
  <si>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</si>
  <si>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</si>
  <si>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</si>
  <si>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</si>
  <si>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</si>
  <si>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</si>
  <si>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</si>
  <si>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</si>
  <si>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</si>
  <si>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</si>
  <si>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</si>
  <si>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</si>
  <si>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</si>
  <si>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</si>
  <si>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</si>
  <si>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</si>
  <si>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</si>
  <si>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</si>
  <si>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</si>
  <si>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</si>
  <si>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</si>
  <si>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</si>
  <si>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</si>
  <si>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</si>
  <si>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</si>
  <si>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</si>
  <si>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</si>
  <si>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</si>
  <si>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</si>
  <si>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</si>
  <si>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</si>
  <si>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</si>
  <si>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</si>
  <si>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</si>
  <si>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</si>
  <si>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</si>
  <si>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</si>
  <si>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</si>
  <si>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</si>
  <si>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</si>
  <si>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</si>
  <si>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</si>
  <si>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</si>
  <si>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</si>
  <si>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</si>
  <si>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</si>
  <si>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</si>
  <si>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</si>
  <si>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</si>
  <si>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</si>
  <si>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</si>
  <si>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</si>
  <si>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</si>
  <si>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</si>
  <si>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</si>
  <si>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</si>
  <si>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</si>
  <si>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</si>
  <si>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</si>
  <si>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</si>
  <si>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</si>
  <si>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</si>
  <si>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</si>
  <si>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</si>
  <si>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</si>
  <si>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</si>
  <si>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</si>
  <si>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</si>
  <si>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</si>
  <si>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</si>
  <si>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</si>
  <si>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</si>
  <si>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</si>
  <si>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</si>
  <si>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</si>
  <si>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</si>
  <si>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</si>
  <si>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</si>
  <si>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</si>
  <si>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</si>
  <si>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</si>
  <si>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</si>
  <si>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</si>
  <si>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</si>
  <si>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</si>
  <si>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</si>
  <si>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</si>
  <si>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</si>
  <si>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</si>
  <si>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</si>
  <si>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</si>
  <si>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</si>
  <si>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</si>
  <si>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</si>
  <si>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</si>
  <si>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</si>
  <si>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</si>
  <si>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</si>
  <si>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</si>
  <si>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</si>
  <si>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</si>
  <si>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</si>
  <si>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</si>
  <si>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</si>
  <si>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</si>
  <si>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</si>
  <si>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</si>
  <si>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</si>
  <si>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</si>
  <si>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</si>
  <si>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</si>
  <si>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</si>
  <si>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</si>
  <si>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</si>
  <si>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</si>
  <si>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</si>
  <si>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</si>
  <si>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</si>
  <si>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</si>
  <si>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</si>
  <si>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</si>
  <si>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</si>
  <si>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</si>
  <si>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</si>
  <si>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</si>
  <si>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</si>
  <si>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</si>
  <si>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</si>
  <si>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</si>
  <si>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</si>
  <si>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</si>
  <si>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</si>
  <si>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</si>
  <si>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</si>
  <si>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</si>
  <si>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</si>
  <si>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</si>
  <si>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</si>
  <si>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</si>
  <si>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</si>
  <si>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</si>
  <si>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</si>
  <si>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</si>
  <si>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</si>
  <si>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</si>
  <si>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</si>
  <si>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</si>
  <si>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</si>
  <si>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</si>
  <si>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</si>
  <si>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</si>
  <si>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</si>
  <si>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</si>
  <si>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</si>
  <si>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</si>
  <si>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</si>
  <si>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</si>
  <si>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</si>
  <si>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</si>
  <si>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</si>
  <si>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</si>
  <si>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</si>
  <si>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</si>
  <si>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</si>
  <si>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</si>
  <si>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</si>
  <si>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</si>
  <si>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</si>
  <si>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</si>
  <si>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</si>
  <si>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</si>
  <si>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</si>
  <si>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</si>
  <si>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</si>
  <si>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</si>
  <si>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</si>
  <si>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</si>
  <si>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</si>
  <si>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</si>
  <si>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</si>
  <si>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</si>
  <si>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</si>
  <si>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</si>
  <si>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</si>
  <si>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</si>
  <si>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</si>
  <si>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</si>
  <si>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</si>
  <si>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</si>
  <si>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</si>
  <si>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</si>
  <si>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</si>
  <si>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</si>
  <si>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</si>
  <si>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</si>
  <si>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</si>
  <si>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</si>
  <si>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</si>
  <si>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</si>
  <si>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</si>
  <si>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</si>
  <si>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</si>
  <si>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</si>
  <si>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</si>
  <si>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</si>
  <si>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</si>
  <si>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</si>
  <si>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</si>
  <si>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</si>
  <si>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</si>
  <si>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</si>
  <si>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</si>
  <si>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</si>
  <si>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</si>
  <si>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</si>
  <si>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</si>
  <si>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</si>
  <si>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</si>
  <si>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</si>
  <si>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</si>
  <si>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</si>
  <si>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</si>
  <si>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</si>
  <si>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</si>
  <si>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</si>
  <si>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</si>
  <si>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</si>
  <si>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</si>
  <si>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</si>
  <si>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</si>
  <si>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</si>
  <si>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</si>
  <si>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</si>
  <si>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</si>
  <si>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</si>
  <si>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</si>
  <si>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</si>
  <si>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</si>
  <si>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</si>
  <si>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</si>
  <si>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</si>
  <si>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</si>
  <si>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</si>
  <si>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</si>
  <si>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</si>
  <si>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</si>
  <si>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</si>
  <si>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</si>
  <si>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</si>
  <si>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</si>
  <si>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</si>
  <si>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</si>
  <si>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</si>
  <si>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</si>
  <si>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</si>
  <si>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</si>
  <si>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</si>
  <si>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</si>
  <si>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</si>
  <si>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</si>
  <si>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</si>
  <si>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</si>
  <si>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</si>
  <si>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</si>
  <si>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</si>
  <si>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</si>
  <si>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</si>
  <si>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</si>
  <si>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</si>
  <si>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</si>
  <si>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</si>
  <si>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</si>
  <si>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</si>
  <si>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</si>
  <si>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</si>
  <si>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</si>
  <si>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</si>
  <si>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</si>
  <si>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</si>
  <si>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</si>
  <si>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</si>
  <si>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</si>
  <si>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</si>
  <si>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</si>
  <si>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</si>
  <si>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</si>
  <si>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</si>
  <si>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</si>
  <si>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</si>
  <si>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</si>
  <si>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</si>
  <si>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</si>
  <si>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</si>
  <si>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</si>
  <si>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</si>
  <si>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</si>
  <si>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</si>
  <si>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</si>
  <si>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</si>
  <si>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</si>
  <si>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</si>
  <si>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</si>
  <si>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</si>
  <si>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</si>
  <si>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</si>
  <si>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</si>
  <si>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</si>
  <si>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</si>
  <si>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</si>
  <si>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</si>
  <si>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</si>
  <si>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</si>
  <si>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</si>
  <si>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</si>
  <si>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</si>
  <si>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</si>
  <si>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</si>
  <si>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</si>
  <si>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</si>
  <si>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</si>
  <si>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</si>
  <si>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</si>
  <si>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</si>
  <si>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</si>
  <si>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</si>
  <si>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</si>
  <si>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</si>
  <si>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</si>
  <si>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</si>
  <si>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</si>
  <si>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</si>
  <si>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</si>
  <si>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</si>
  <si>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</si>
  <si>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</si>
  <si>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</si>
  <si>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</si>
  <si>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</si>
  <si>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</si>
  <si>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</si>
  <si>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</si>
  <si>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</si>
  <si>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</si>
  <si>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</si>
  <si>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</si>
  <si>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</si>
  <si>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</si>
  <si>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</si>
  <si>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</si>
  <si>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</si>
  <si>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</si>
  <si>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</si>
  <si>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</si>
  <si>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</si>
  <si>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</si>
  <si>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</si>
  <si>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</si>
  <si>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</si>
  <si>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</si>
  <si>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</si>
  <si>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</si>
  <si>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</si>
  <si>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</si>
  <si>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</si>
  <si>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</si>
  <si>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</si>
  <si>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</si>
  <si>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</si>
  <si>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</si>
  <si>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</si>
  <si>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</si>
  <si>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</si>
  <si>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</si>
  <si>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</si>
  <si>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</si>
  <si>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</si>
  <si>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</si>
  <si>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</si>
  <si>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</si>
  <si>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</si>
  <si>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</si>
  <si>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</si>
  <si>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</si>
  <si>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</si>
  <si>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</si>
  <si>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</si>
  <si>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</si>
  <si>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</si>
  <si>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</si>
  <si>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</si>
  <si>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</si>
  <si>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</si>
  <si>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</si>
  <si>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</si>
  <si>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</si>
  <si>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</si>
  <si>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</si>
  <si>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</si>
  <si>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</si>
  <si>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</si>
  <si>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</si>
  <si>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</si>
  <si>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</si>
  <si>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</si>
  <si>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</si>
  <si>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</si>
  <si>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</si>
  <si>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</si>
  <si>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</si>
  <si>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</si>
  <si>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</si>
  <si>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</si>
  <si>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</si>
  <si>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</si>
  <si>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</si>
  <si>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</si>
  <si>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</si>
  <si>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</si>
  <si>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</si>
  <si>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</si>
  <si>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</si>
  <si>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</si>
  <si>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</si>
  <si>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</si>
  <si>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</si>
  <si>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</si>
  <si>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</si>
  <si>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</si>
  <si>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</si>
  <si>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</si>
  <si>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</si>
  <si>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</si>
  <si>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</si>
  <si>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</si>
  <si>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</si>
  <si>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</si>
  <si>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</si>
  <si>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</si>
  <si>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</si>
  <si>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</si>
  <si>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</si>
  <si>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</si>
  <si>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</si>
  <si>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</si>
  <si>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</si>
  <si>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</si>
  <si>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</si>
  <si>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</si>
  <si>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</si>
  <si>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</si>
  <si>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</si>
  <si>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</si>
  <si>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</si>
  <si>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</si>
  <si>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</si>
  <si>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</si>
  <si>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</si>
  <si>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</si>
  <si>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</si>
  <si>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</si>
  <si>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</si>
  <si>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</si>
  <si>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</si>
  <si>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</si>
  <si>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</si>
  <si>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</si>
  <si>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</si>
  <si>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</si>
  <si>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</si>
  <si>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</si>
  <si>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</si>
  <si>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</si>
  <si>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</si>
  <si>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</si>
  <si>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</si>
  <si>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</si>
  <si>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</si>
  <si>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</si>
  <si>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</si>
  <si>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</si>
  <si>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</si>
  <si>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</si>
  <si>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</si>
  <si>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</si>
  <si>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</si>
  <si>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</si>
  <si>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</si>
  <si>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</si>
  <si>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</si>
  <si>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</si>
  <si>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</si>
  <si>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</si>
  <si>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</si>
  <si>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</si>
  <si>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</si>
  <si>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</si>
  <si>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</si>
  <si>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</si>
  <si>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</si>
  <si>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</si>
  <si>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</si>
  <si>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</si>
  <si>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</si>
  <si>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</si>
  <si>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</si>
  <si>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</si>
  <si>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</si>
  <si>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</si>
  <si>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</si>
  <si>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</si>
  <si>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</si>
  <si>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</si>
  <si>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</si>
  <si>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</si>
  <si>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</si>
  <si>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</si>
  <si>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</si>
  <si>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</si>
  <si>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</si>
  <si>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</si>
  <si>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</si>
  <si>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</si>
  <si>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</si>
  <si>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</si>
  <si>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</si>
  <si>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</si>
  <si>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</si>
  <si>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</si>
  <si>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</si>
  <si>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</si>
  <si>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</si>
  <si>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</si>
  <si>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</si>
  <si>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</si>
  <si>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</si>
  <si>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</si>
  <si>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</si>
  <si>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</si>
  <si>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</si>
  <si>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</si>
  <si>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</si>
  <si>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</si>
  <si>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</si>
  <si>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</si>
  <si>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</si>
  <si>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</si>
  <si>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</si>
  <si>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</si>
  <si>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</si>
  <si>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</si>
  <si>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</si>
  <si>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</si>
  <si>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</si>
  <si>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</si>
  <si>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</si>
  <si>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</si>
  <si>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</si>
  <si>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</si>
  <si>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</si>
  <si>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</si>
  <si>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</si>
  <si>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</si>
  <si>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</si>
  <si>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</si>
  <si>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</si>
  <si>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</si>
  <si>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</si>
  <si>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</si>
  <si>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</si>
  <si>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</si>
  <si>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</si>
  <si>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</si>
  <si>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</si>
  <si>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</si>
  <si>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</si>
  <si>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</si>
  <si>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</si>
  <si>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</si>
  <si>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</si>
  <si>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</si>
  <si>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</si>
  <si>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</si>
  <si>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</si>
  <si>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</si>
  <si>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</si>
  <si>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</si>
  <si>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</si>
  <si>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</si>
  <si>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</si>
  <si>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</si>
  <si>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</si>
  <si>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</si>
  <si>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</si>
  <si>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</si>
  <si>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</si>
  <si>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</si>
  <si>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</si>
  <si>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</si>
  <si>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</si>
  <si>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</si>
  <si>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</si>
  <si>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</si>
  <si>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</si>
  <si>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</si>
  <si>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</si>
  <si>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</si>
  <si>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</si>
  <si>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</si>
  <si>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</si>
  <si>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</si>
  <si>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</si>
  <si>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</si>
  <si>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</si>
  <si>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</si>
  <si>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</si>
  <si>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</si>
  <si>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</si>
  <si>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</si>
  <si>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</si>
  <si>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</si>
  <si>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</si>
  <si>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</si>
  <si>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</si>
  <si>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</si>
  <si>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</si>
  <si>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</si>
  <si>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</si>
  <si>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</si>
  <si>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</si>
  <si>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</si>
  <si>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</si>
  <si>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</si>
  <si>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</si>
  <si>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</si>
  <si>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</si>
  <si>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</si>
  <si>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</si>
  <si>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</si>
  <si>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</si>
  <si>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</si>
  <si>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</si>
  <si>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</si>
  <si>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</si>
  <si>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</si>
  <si>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</si>
  <si>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</si>
  <si>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</si>
  <si>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</si>
  <si>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</si>
  <si>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</si>
  <si>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</si>
  <si>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</si>
  <si>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</si>
  <si>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</si>
  <si>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</si>
  <si>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</si>
  <si>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</si>
  <si>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</si>
  <si>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</si>
  <si>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</si>
  <si>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</si>
  <si>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</si>
  <si>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</si>
  <si>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</si>
  <si>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</si>
  <si>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</si>
  <si>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</si>
  <si>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</si>
  <si>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</si>
  <si>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</si>
  <si>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</si>
  <si>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</si>
  <si>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</si>
  <si>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</si>
  <si>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</si>
  <si>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</si>
  <si>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</si>
  <si>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</si>
  <si>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</si>
  <si>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</si>
  <si>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</si>
  <si>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</si>
  <si>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</si>
  <si>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</si>
  <si>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</si>
  <si>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</si>
  <si>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</si>
  <si>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</si>
  <si>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</si>
  <si>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</si>
  <si>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</si>
  <si>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</si>
  <si>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</si>
  <si>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</si>
  <si>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</si>
  <si>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</si>
  <si>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</si>
  <si>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</si>
  <si>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</si>
  <si>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</si>
  <si>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</si>
  <si>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</si>
  <si>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</si>
  <si>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</si>
  <si>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</si>
  <si>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</si>
  <si>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</si>
  <si>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</si>
  <si>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</si>
  <si>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</si>
  <si>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</si>
  <si>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</si>
  <si>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</si>
  <si>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</si>
  <si>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</si>
  <si>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</si>
  <si>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</si>
  <si>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</si>
  <si>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</si>
  <si>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</si>
  <si>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</si>
  <si>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</si>
  <si>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</si>
  <si>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</si>
  <si>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</si>
  <si>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</si>
  <si>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</si>
  <si>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</si>
  <si>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</si>
  <si>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</si>
  <si>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</si>
  <si>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</si>
  <si>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</si>
  <si>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</si>
  <si>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</si>
  <si>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</si>
  <si>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</si>
  <si>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</si>
  <si>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</si>
  <si>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</si>
  <si>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</si>
  <si>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</si>
  <si>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</si>
  <si>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</si>
  <si>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</si>
  <si>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</si>
  <si>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</si>
  <si>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</si>
  <si>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</si>
  <si>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</si>
  <si>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</si>
  <si>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</si>
  <si>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</si>
  <si>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</si>
  <si>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</si>
  <si>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</si>
  <si>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</si>
  <si>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</si>
  <si>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</si>
  <si>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</si>
  <si>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</si>
  <si>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</si>
  <si>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</si>
  <si>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</si>
  <si>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</si>
  <si>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</si>
  <si>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</si>
  <si>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</si>
  <si>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</si>
  <si>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</si>
  <si>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</si>
  <si>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</si>
  <si>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</si>
  <si>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</si>
  <si>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</si>
  <si>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</si>
  <si>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</si>
  <si>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</si>
  <si>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</si>
  <si>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</si>
  <si>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</si>
  <si>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</si>
  <si>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</si>
  <si>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</si>
  <si>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</si>
  <si>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</si>
  <si>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</si>
  <si>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</si>
  <si>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</si>
  <si>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</si>
  <si>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</si>
  <si>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</si>
  <si>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</si>
  <si>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</si>
  <si>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</si>
  <si>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</si>
  <si>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</si>
  <si>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</si>
  <si>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</si>
  <si>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</si>
  <si>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</si>
  <si>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</si>
  <si>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</si>
  <si>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</si>
  <si>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</si>
  <si>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</si>
  <si>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</si>
  <si>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</si>
  <si>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</si>
  <si>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</si>
  <si>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</si>
  <si>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</si>
  <si>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</si>
  <si>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</si>
  <si>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</si>
  <si>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5/07</t>
    <phoneticPr fontId="0" type="noConversion"/>
  </si>
  <si>
    <t>8/17</t>
    <phoneticPr fontId="0" type="noConversion"/>
  </si>
  <si>
    <t>3.5 - 5.0</t>
    <phoneticPr fontId="0" type="noConversion"/>
  </si>
  <si>
    <t>HOPKINTON SCHOOL DISTRICT - SAU66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</si>
</sst>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comments" Target="../comments1.x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vmlDrawing" Target="../drawings/vmlDrawing1.vml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PageLayoutView="15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236</v>
      </c>
      <c r="C2" s="21">
        <v>263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338606+239868</f>
        <v>578474</v>
      </c>
      <c r="G9" s="18">
        <v>100</v>
      </c>
      <c r="H9" s="18"/>
      <c r="I9" s="18">
        <v>0</v>
      </c>
      <c r="J9" s="67">
        <f>SUM(I438)</f>
        <v>471476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48703</v>
      </c>
      <c r="G12" s="18"/>
      <c r="H12" s="18">
        <v>34958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21748</v>
      </c>
      <c r="G13" s="18">
        <v>27109</v>
      </c>
      <c r="H13" s="18">
        <v>64797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15209</v>
      </c>
      <c r="G14" s="18">
        <v>801</v>
      </c>
      <c r="H14" s="18">
        <v>2874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36475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700609</v>
      </c>
      <c r="G19" s="41">
        <f>SUM(G9:G18)</f>
        <v>28010</v>
      </c>
      <c r="H19" s="41">
        <f>SUM(H9:H18)</f>
        <v>102629</v>
      </c>
      <c r="I19" s="41">
        <f>SUM(I9:I18)</f>
        <v>0</v>
      </c>
      <c r="J19" s="41">
        <f>SUM(J9:J18)</f>
        <v>471476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20224</v>
      </c>
      <c r="H22" s="18">
        <f>63437</f>
        <v>63437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68672</v>
      </c>
      <c r="G24" s="18">
        <v>417</v>
      </c>
      <c r="H24" s="18">
        <f>1360+969</f>
        <v>2329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22791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7369</v>
      </c>
      <c r="H30" s="18">
        <f>37832-969</f>
        <v>36863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3700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95163</v>
      </c>
      <c r="G32" s="41">
        <f>SUM(G22:G31)</f>
        <v>28010</v>
      </c>
      <c r="H32" s="41">
        <f>SUM(H22:H31)</f>
        <v>102629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36475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150000</v>
      </c>
      <c r="G47" s="18"/>
      <c r="H47" s="18"/>
      <c r="I47" s="18"/>
      <c r="J47" s="13">
        <f>SUM(I458)</f>
        <v>471476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20062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328909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605446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471476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700609</v>
      </c>
      <c r="G51" s="41">
        <f>G50+G32</f>
        <v>28010</v>
      </c>
      <c r="H51" s="41">
        <f>H50+H32</f>
        <v>102629</v>
      </c>
      <c r="I51" s="41">
        <f>I50+I32</f>
        <v>0</v>
      </c>
      <c r="J51" s="41">
        <f>J50+J32</f>
        <v>471476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11637336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11637336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91090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9945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101035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432</v>
      </c>
      <c r="G95" s="18"/>
      <c r="H95" s="18"/>
      <c r="I95" s="18">
        <v>0</v>
      </c>
      <c r="J95" s="18">
        <v>537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201102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7347+24843+2680+3219</f>
        <v>38089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4681</v>
      </c>
      <c r="G100" s="18"/>
      <c r="H100" s="18">
        <v>4634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64437-3480-1555-4697-2132-114-1397-136-431-132-1215-4634</f>
        <v>44514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9044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6055</v>
      </c>
      <c r="G109" s="18"/>
      <c r="H109" s="18">
        <f>4697+2132+114+1397+136+431+132+1215</f>
        <v>10254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58301</v>
      </c>
      <c r="G110" s="41">
        <f>SUM(G95:G109)</f>
        <v>201102</v>
      </c>
      <c r="H110" s="41">
        <f>SUM(H95:H109)</f>
        <v>59402</v>
      </c>
      <c r="I110" s="41">
        <f>SUM(I95:I109)</f>
        <v>0</v>
      </c>
      <c r="J110" s="41">
        <f>SUM(J95:J109)</f>
        <v>537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11796672</v>
      </c>
      <c r="G111" s="41">
        <f>G59+G110</f>
        <v>201102</v>
      </c>
      <c r="H111" s="41">
        <f>H59+H78+H93+H110</f>
        <v>59402</v>
      </c>
      <c r="I111" s="41">
        <f>I59+I110</f>
        <v>0</v>
      </c>
      <c r="J111" s="41">
        <f>J59+J110</f>
        <v>537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2087695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1590949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3678644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147126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2431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2341+719</f>
        <v>3060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1555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149557</v>
      </c>
      <c r="G135" s="41">
        <f>SUM(G122:G134)</f>
        <v>3060</v>
      </c>
      <c r="H135" s="41">
        <f>SUM(H122:H134)</f>
        <v>1555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3828201</v>
      </c>
      <c r="G139" s="41">
        <f>G120+SUM(G135:G136)</f>
        <v>3060</v>
      </c>
      <c r="H139" s="41">
        <f>H120+SUM(H135:H138)</f>
        <v>1555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28934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28934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2541+39891</f>
        <v>42432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9931+21765</f>
        <v>31696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37206+14445+685+12679</f>
        <v>65015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3727+185090+16062</f>
        <v>204879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141106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141106</v>
      </c>
      <c r="G161" s="41">
        <f>SUM(G149:G160)</f>
        <v>65015</v>
      </c>
      <c r="H161" s="41">
        <f>SUM(H149:H160)</f>
        <v>279007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170040</v>
      </c>
      <c r="G168" s="41">
        <f>G146+G161+SUM(G162:G167)</f>
        <v>65015</v>
      </c>
      <c r="H168" s="41">
        <f>H146+H161+SUM(H162:H167)</f>
        <v>279007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92865</v>
      </c>
      <c r="H178" s="18">
        <v>3480</v>
      </c>
      <c r="I178" s="18">
        <v>0</v>
      </c>
      <c r="J178" s="18">
        <v>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92865</v>
      </c>
      <c r="H182" s="41">
        <f>SUM(H178:H181)</f>
        <v>3480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>
        <v>0</v>
      </c>
      <c r="H185" s="18"/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92865</v>
      </c>
      <c r="H191" s="41">
        <f>+H182+SUM(H187:H190)</f>
        <v>3480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15794913</v>
      </c>
      <c r="G192" s="47">
        <f>G111+G139+G168+G191</f>
        <v>362042</v>
      </c>
      <c r="H192" s="47">
        <f>H111+H139+H168+H191</f>
        <v>343444</v>
      </c>
      <c r="I192" s="47">
        <f>I111+I139+I168+I191</f>
        <v>0</v>
      </c>
      <c r="J192" s="47">
        <f>J111+J139+J191</f>
        <v>50537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2113118+65418+1</f>
        <v>2178537</v>
      </c>
      <c r="G196" s="18">
        <f>890840+49815</f>
        <v>940655</v>
      </c>
      <c r="H196" s="18">
        <f>913+5914</f>
        <v>6827</v>
      </c>
      <c r="I196" s="18">
        <f>45395+5681</f>
        <v>51076</v>
      </c>
      <c r="J196" s="18">
        <f>3900+7289</f>
        <v>11189</v>
      </c>
      <c r="K196" s="18">
        <v>1365</v>
      </c>
      <c r="L196" s="19">
        <f>SUM(F196:K196)</f>
        <v>3189649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906819+13232+1</f>
        <v>920052</v>
      </c>
      <c r="G197" s="18">
        <f>279017+2019</f>
        <v>281036</v>
      </c>
      <c r="H197" s="18">
        <f>21762+98507</f>
        <v>120269</v>
      </c>
      <c r="I197" s="18">
        <f>1241+1649</f>
        <v>2890</v>
      </c>
      <c r="J197" s="18">
        <f>27+1099</f>
        <v>1126</v>
      </c>
      <c r="K197" s="18">
        <v>134</v>
      </c>
      <c r="L197" s="19">
        <f>SUM(F197:K197)</f>
        <v>1325507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3571</v>
      </c>
      <c r="G199" s="18">
        <v>529</v>
      </c>
      <c r="H199" s="18"/>
      <c r="I199" s="18"/>
      <c r="J199" s="18"/>
      <c r="K199" s="18">
        <v>0</v>
      </c>
      <c r="L199" s="19">
        <f>SUM(F199:K199)</f>
        <v>4100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360459+89757</f>
        <v>450216</v>
      </c>
      <c r="G201" s="18">
        <f>149907+23212</f>
        <v>173119</v>
      </c>
      <c r="H201" s="18">
        <f>166+51644+857</f>
        <v>52667</v>
      </c>
      <c r="I201" s="18">
        <f>3951+267</f>
        <v>4218</v>
      </c>
      <c r="J201" s="18">
        <f>1289+209</f>
        <v>1498</v>
      </c>
      <c r="K201" s="18">
        <v>0</v>
      </c>
      <c r="L201" s="19">
        <f t="shared" ref="L201:L207" si="0">SUM(F201:K201)</f>
        <v>681718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121890+84975</f>
        <v>206865</v>
      </c>
      <c r="G202" s="18">
        <f>35692+35971</f>
        <v>71663</v>
      </c>
      <c r="H202" s="18">
        <f>36214+10582+26691+2757+5</f>
        <v>76249</v>
      </c>
      <c r="I202" s="18">
        <f>19517+10717</f>
        <v>30234</v>
      </c>
      <c r="J202" s="18">
        <f>30226+27913</f>
        <v>58139</v>
      </c>
      <c r="K202" s="18">
        <f>2848+7695</f>
        <v>10543</v>
      </c>
      <c r="L202" s="19">
        <f t="shared" si="0"/>
        <v>453693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151561</v>
      </c>
      <c r="G203" s="18">
        <v>65589</v>
      </c>
      <c r="H203" s="18">
        <f>21468+549+10925</f>
        <v>32942</v>
      </c>
      <c r="I203" s="18">
        <v>5304</v>
      </c>
      <c r="J203" s="18"/>
      <c r="K203" s="18">
        <v>8397</v>
      </c>
      <c r="L203" s="19">
        <f t="shared" si="0"/>
        <v>263793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250564-1</f>
        <v>250563</v>
      </c>
      <c r="G204" s="18">
        <v>116321</v>
      </c>
      <c r="H204" s="18">
        <v>16379</v>
      </c>
      <c r="I204" s="18">
        <v>1492</v>
      </c>
      <c r="J204" s="18">
        <v>0</v>
      </c>
      <c r="K204" s="18">
        <v>1980</v>
      </c>
      <c r="L204" s="19">
        <f t="shared" si="0"/>
        <v>386735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88254</v>
      </c>
      <c r="G205" s="18">
        <v>32676</v>
      </c>
      <c r="H205" s="18"/>
      <c r="I205" s="18"/>
      <c r="J205" s="18"/>
      <c r="K205" s="18"/>
      <c r="L205" s="19">
        <f t="shared" si="0"/>
        <v>120930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188474+25972-2</f>
        <v>214444</v>
      </c>
      <c r="G206" s="18">
        <f>105481+12183</f>
        <v>117664</v>
      </c>
      <c r="H206" s="18">
        <f>62655+1922+799+21493</f>
        <v>86869</v>
      </c>
      <c r="I206" s="18">
        <f>157004+5374</f>
        <v>162378</v>
      </c>
      <c r="J206" s="18">
        <v>4979</v>
      </c>
      <c r="K206" s="18">
        <v>0</v>
      </c>
      <c r="L206" s="19">
        <f t="shared" si="0"/>
        <v>586334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3618+18220</f>
        <v>21838</v>
      </c>
      <c r="G207" s="18">
        <f>501+6307</f>
        <v>6808</v>
      </c>
      <c r="H207" s="18">
        <f>2475+494+280942+3</f>
        <v>283914</v>
      </c>
      <c r="I207" s="18">
        <f>245+9838</f>
        <v>10083</v>
      </c>
      <c r="J207" s="18"/>
      <c r="K207" s="18">
        <v>132</v>
      </c>
      <c r="L207" s="19">
        <f t="shared" si="0"/>
        <v>322775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4485901</v>
      </c>
      <c r="G210" s="41">
        <f t="shared" si="1"/>
        <v>1806060</v>
      </c>
      <c r="H210" s="41">
        <f t="shared" si="1"/>
        <v>676116</v>
      </c>
      <c r="I210" s="41">
        <f t="shared" si="1"/>
        <v>267675</v>
      </c>
      <c r="J210" s="41">
        <f t="shared" si="1"/>
        <v>76931</v>
      </c>
      <c r="K210" s="41">
        <f t="shared" si="1"/>
        <v>22551</v>
      </c>
      <c r="L210" s="41">
        <f t="shared" si="1"/>
        <v>7335234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781551+18913</f>
        <v>800464</v>
      </c>
      <c r="G214" s="18">
        <f>331696+14402</f>
        <v>346098</v>
      </c>
      <c r="H214" s="18">
        <f>1928+1710</f>
        <v>3638</v>
      </c>
      <c r="I214" s="18">
        <v>16175</v>
      </c>
      <c r="J214" s="18">
        <f>4179+2107</f>
        <v>6286</v>
      </c>
      <c r="K214" s="18">
        <v>370</v>
      </c>
      <c r="L214" s="19">
        <f>SUM(F214:K214)</f>
        <v>1173031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221748+3825</f>
        <v>225573</v>
      </c>
      <c r="G215" s="18">
        <f>100656+584</f>
        <v>101240</v>
      </c>
      <c r="H215" s="18">
        <f>10335+4667</f>
        <v>15002</v>
      </c>
      <c r="I215" s="18">
        <f>1+477</f>
        <v>478</v>
      </c>
      <c r="J215" s="18">
        <f>198+318</f>
        <v>516</v>
      </c>
      <c r="K215" s="18">
        <v>39</v>
      </c>
      <c r="L215" s="19">
        <f>SUM(F215:K215)</f>
        <v>342848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31234</v>
      </c>
      <c r="G217" s="18">
        <v>7037</v>
      </c>
      <c r="H217" s="18">
        <v>8640</v>
      </c>
      <c r="I217" s="18">
        <v>2476</v>
      </c>
      <c r="J217" s="18">
        <v>1147</v>
      </c>
      <c r="K217" s="18">
        <v>0</v>
      </c>
      <c r="L217" s="19">
        <f>SUM(F217:K217)</f>
        <v>50534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62524+25950</f>
        <v>88474</v>
      </c>
      <c r="G219" s="18">
        <f>28183+6711</f>
        <v>34894</v>
      </c>
      <c r="H219" s="18">
        <f>8158+248</f>
        <v>8406</v>
      </c>
      <c r="I219" s="18">
        <f>611+77</f>
        <v>688</v>
      </c>
      <c r="J219" s="18">
        <f>375+60</f>
        <v>435</v>
      </c>
      <c r="K219" s="18">
        <v>0</v>
      </c>
      <c r="L219" s="19">
        <f t="shared" ref="L219:L225" si="2">SUM(F219:K219)</f>
        <v>132897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23674+24567</f>
        <v>48241</v>
      </c>
      <c r="G220" s="18">
        <f>12427+10400</f>
        <v>22827</v>
      </c>
      <c r="H220" s="18">
        <f>5891+3059+7717+797</f>
        <v>17464</v>
      </c>
      <c r="I220" s="18">
        <f>8238+3098</f>
        <v>11336</v>
      </c>
      <c r="J220" s="18">
        <f>487+8070</f>
        <v>8557</v>
      </c>
      <c r="K220" s="18">
        <f>517+2225</f>
        <v>2742</v>
      </c>
      <c r="L220" s="19">
        <f t="shared" si="2"/>
        <v>111167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43818</v>
      </c>
      <c r="G221" s="18">
        <v>18962</v>
      </c>
      <c r="H221" s="18">
        <f>6207+159+3158-1</f>
        <v>9523</v>
      </c>
      <c r="I221" s="18">
        <v>1534</v>
      </c>
      <c r="J221" s="18"/>
      <c r="K221" s="18">
        <v>2428</v>
      </c>
      <c r="L221" s="19">
        <f t="shared" si="2"/>
        <v>76265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89214</v>
      </c>
      <c r="G222" s="18">
        <v>46539</v>
      </c>
      <c r="H222" s="18">
        <v>5526</v>
      </c>
      <c r="I222" s="18">
        <v>642</v>
      </c>
      <c r="J222" s="18">
        <v>0</v>
      </c>
      <c r="K222" s="18">
        <v>2037</v>
      </c>
      <c r="L222" s="19">
        <f t="shared" si="2"/>
        <v>143958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25515</v>
      </c>
      <c r="G223" s="18">
        <v>9447</v>
      </c>
      <c r="H223" s="18"/>
      <c r="I223" s="18"/>
      <c r="J223" s="18"/>
      <c r="K223" s="18"/>
      <c r="L223" s="19">
        <f t="shared" si="2"/>
        <v>34962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35939+7509</f>
        <v>43448</v>
      </c>
      <c r="G224" s="18">
        <f>14296+3522</f>
        <v>17818</v>
      </c>
      <c r="H224" s="18">
        <f>23997+556+231+6214</f>
        <v>30998</v>
      </c>
      <c r="I224" s="18">
        <f>57789+1554</f>
        <v>59343</v>
      </c>
      <c r="J224" s="18">
        <v>1233</v>
      </c>
      <c r="K224" s="18">
        <v>0</v>
      </c>
      <c r="L224" s="19">
        <f t="shared" si="2"/>
        <v>152840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92+3325</f>
        <v>3417</v>
      </c>
      <c r="G225" s="18">
        <f>8+1017</f>
        <v>1025</v>
      </c>
      <c r="H225" s="18">
        <f>10188+143+57902</f>
        <v>68233</v>
      </c>
      <c r="I225" s="18">
        <f>345+2844</f>
        <v>3189</v>
      </c>
      <c r="J225" s="18"/>
      <c r="K225" s="18">
        <v>38</v>
      </c>
      <c r="L225" s="19">
        <f t="shared" si="2"/>
        <v>75902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1399398</v>
      </c>
      <c r="G228" s="41">
        <f>SUM(G214:G227)</f>
        <v>605887</v>
      </c>
      <c r="H228" s="41">
        <f>SUM(H214:H227)</f>
        <v>167430</v>
      </c>
      <c r="I228" s="41">
        <f>SUM(I214:I227)</f>
        <v>95861</v>
      </c>
      <c r="J228" s="41">
        <f>SUM(J214:J227)</f>
        <v>18174</v>
      </c>
      <c r="K228" s="41">
        <f t="shared" si="3"/>
        <v>7654</v>
      </c>
      <c r="L228" s="41">
        <f t="shared" si="3"/>
        <v>2294404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1549457+45041</f>
        <v>1594498</v>
      </c>
      <c r="G232" s="18">
        <f>673678+34298</f>
        <v>707976</v>
      </c>
      <c r="H232" s="18">
        <f>8989+4072</f>
        <v>13061</v>
      </c>
      <c r="I232" s="18">
        <v>42171</v>
      </c>
      <c r="J232" s="18">
        <f>3361+5019</f>
        <v>8380</v>
      </c>
      <c r="K232" s="18">
        <v>3274</v>
      </c>
      <c r="L232" s="19">
        <f>SUM(F232:K232)</f>
        <v>2369360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488881+28277</f>
        <v>517158</v>
      </c>
      <c r="G233" s="18">
        <f>190528+2856</f>
        <v>193384</v>
      </c>
      <c r="H233" s="18">
        <f>310+21990+43563</f>
        <v>65863</v>
      </c>
      <c r="I233" s="18">
        <f>600+1135</f>
        <v>1735</v>
      </c>
      <c r="J233" s="18">
        <f>1222+757</f>
        <v>1979</v>
      </c>
      <c r="K233" s="18">
        <v>92</v>
      </c>
      <c r="L233" s="19">
        <f>SUM(F233:K233)</f>
        <v>780211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28469</v>
      </c>
      <c r="I234" s="18"/>
      <c r="J234" s="18"/>
      <c r="K234" s="18"/>
      <c r="L234" s="19">
        <f>SUM(F234:K234)</f>
        <v>28469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165313</v>
      </c>
      <c r="G235" s="18">
        <v>34601</v>
      </c>
      <c r="H235" s="18">
        <v>51259</v>
      </c>
      <c r="I235" s="18">
        <v>9587</v>
      </c>
      <c r="J235" s="18">
        <v>6350</v>
      </c>
      <c r="K235" s="18">
        <v>2877</v>
      </c>
      <c r="L235" s="19">
        <f>SUM(F235:K235)</f>
        <v>269987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197821+61798</f>
        <v>259619</v>
      </c>
      <c r="G237" s="18">
        <f>79039+15982</f>
        <v>95021</v>
      </c>
      <c r="H237" s="18">
        <f>21031+590</f>
        <v>21621</v>
      </c>
      <c r="I237" s="18">
        <f>1067+184</f>
        <v>1251</v>
      </c>
      <c r="J237" s="18">
        <f>316+144</f>
        <v>460</v>
      </c>
      <c r="K237" s="18">
        <v>0</v>
      </c>
      <c r="L237" s="19">
        <f t="shared" ref="L237:L243" si="4">SUM(F237:K237)</f>
        <v>377972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54099+58506</f>
        <v>112605</v>
      </c>
      <c r="G238" s="18">
        <f>28459+24766</f>
        <v>53225</v>
      </c>
      <c r="H238" s="18">
        <f>16568+7285+18377+1898</f>
        <v>44128</v>
      </c>
      <c r="I238" s="18">
        <f>14053+7378</f>
        <v>21431</v>
      </c>
      <c r="J238" s="18">
        <f>12416+19214</f>
        <v>31630</v>
      </c>
      <c r="K238" s="18">
        <f>776+5298</f>
        <v>6074</v>
      </c>
      <c r="L238" s="19">
        <f t="shared" si="4"/>
        <v>269093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104351</v>
      </c>
      <c r="G239" s="18">
        <v>45158</v>
      </c>
      <c r="H239" s="18">
        <f>14781+378+7521</f>
        <v>22680</v>
      </c>
      <c r="I239" s="18">
        <v>3652</v>
      </c>
      <c r="J239" s="18"/>
      <c r="K239" s="18">
        <v>5782</v>
      </c>
      <c r="L239" s="19">
        <f t="shared" si="4"/>
        <v>181623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162317</v>
      </c>
      <c r="G240" s="18">
        <v>78022</v>
      </c>
      <c r="H240" s="18">
        <v>11996</v>
      </c>
      <c r="I240" s="18">
        <v>9615</v>
      </c>
      <c r="J240" s="18">
        <v>0</v>
      </c>
      <c r="K240" s="18">
        <v>3426</v>
      </c>
      <c r="L240" s="19">
        <f t="shared" si="4"/>
        <v>265376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60763</v>
      </c>
      <c r="G241" s="18">
        <v>22498</v>
      </c>
      <c r="H241" s="18"/>
      <c r="I241" s="18"/>
      <c r="J241" s="18"/>
      <c r="K241" s="18"/>
      <c r="L241" s="19">
        <f t="shared" si="4"/>
        <v>83261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139252+17882</f>
        <v>157134</v>
      </c>
      <c r="G242" s="18">
        <f>57319+8388</f>
        <v>65707</v>
      </c>
      <c r="H242" s="18">
        <f>49031+1323+550+14798</f>
        <v>65702</v>
      </c>
      <c r="I242" s="18">
        <f>117282+3700</f>
        <v>120982</v>
      </c>
      <c r="J242" s="18">
        <v>2802</v>
      </c>
      <c r="K242" s="18">
        <v>0</v>
      </c>
      <c r="L242" s="19">
        <f t="shared" si="4"/>
        <v>412327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188+7918</f>
        <v>8106</v>
      </c>
      <c r="G243" s="18">
        <f>31+2422</f>
        <v>2453</v>
      </c>
      <c r="H243" s="18">
        <f>42485+340+174200</f>
        <v>217025</v>
      </c>
      <c r="I243" s="18">
        <f>1681+6774</f>
        <v>8455</v>
      </c>
      <c r="J243" s="18">
        <v>0</v>
      </c>
      <c r="K243" s="18">
        <v>91</v>
      </c>
      <c r="L243" s="19">
        <f t="shared" si="4"/>
        <v>236130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3141864</v>
      </c>
      <c r="G246" s="41">
        <f t="shared" si="5"/>
        <v>1298045</v>
      </c>
      <c r="H246" s="41">
        <f t="shared" si="5"/>
        <v>541804</v>
      </c>
      <c r="I246" s="41">
        <f t="shared" si="5"/>
        <v>218879</v>
      </c>
      <c r="J246" s="41">
        <f t="shared" si="5"/>
        <v>51601</v>
      </c>
      <c r="K246" s="41">
        <f t="shared" si="5"/>
        <v>21616</v>
      </c>
      <c r="L246" s="41">
        <f t="shared" si="5"/>
        <v>5273809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9027163</v>
      </c>
      <c r="G256" s="41">
        <f t="shared" si="8"/>
        <v>3709992</v>
      </c>
      <c r="H256" s="41">
        <f t="shared" si="8"/>
        <v>1385350</v>
      </c>
      <c r="I256" s="41">
        <f t="shared" si="8"/>
        <v>582415</v>
      </c>
      <c r="J256" s="41">
        <f t="shared" si="8"/>
        <v>146706</v>
      </c>
      <c r="K256" s="41">
        <f t="shared" si="8"/>
        <v>51821</v>
      </c>
      <c r="L256" s="41">
        <f t="shared" si="8"/>
        <v>14903447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430000</v>
      </c>
      <c r="L259" s="19">
        <f>SUM(F259:K259)</f>
        <v>430000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114413</v>
      </c>
      <c r="L260" s="19">
        <f>SUM(F260:K260)</f>
        <v>114413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92865</v>
      </c>
      <c r="L262" s="19">
        <f>SUM(F262:K262)</f>
        <v>92865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3480</v>
      </c>
      <c r="L263" s="19">
        <f t="shared" ref="L263:L269" si="9">SUM(F263:K263)</f>
        <v>3480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690758</v>
      </c>
      <c r="L269" s="41">
        <f t="shared" si="9"/>
        <v>690758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9027163</v>
      </c>
      <c r="G270" s="42">
        <f t="shared" si="11"/>
        <v>3709992</v>
      </c>
      <c r="H270" s="42">
        <f t="shared" si="11"/>
        <v>1385350</v>
      </c>
      <c r="I270" s="42">
        <f t="shared" si="11"/>
        <v>582415</v>
      </c>
      <c r="J270" s="42">
        <f t="shared" si="11"/>
        <v>146706</v>
      </c>
      <c r="K270" s="42">
        <f t="shared" si="11"/>
        <v>742579</v>
      </c>
      <c r="L270" s="42">
        <f t="shared" si="11"/>
        <v>15594205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30731+1305</f>
        <v>32036</v>
      </c>
      <c r="G275" s="18">
        <f>9658+247</f>
        <v>9905</v>
      </c>
      <c r="H275" s="18">
        <f>7797+5844</f>
        <v>13641</v>
      </c>
      <c r="I275" s="18">
        <f>203+3521</f>
        <v>3724</v>
      </c>
      <c r="J275" s="18">
        <f>1197+1384</f>
        <v>2581</v>
      </c>
      <c r="K275" s="18">
        <v>455</v>
      </c>
      <c r="L275" s="19">
        <f>SUM(F275:K275)</f>
        <v>62342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81678+1</f>
        <v>81679</v>
      </c>
      <c r="G276" s="18">
        <f>38279+1</f>
        <v>38280</v>
      </c>
      <c r="H276" s="18"/>
      <c r="I276" s="18"/>
      <c r="J276" s="18"/>
      <c r="K276" s="18"/>
      <c r="L276" s="19">
        <f>SUM(F276:K276)</f>
        <v>119959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>
        <v>506</v>
      </c>
      <c r="L278" s="19">
        <f>SUM(F278:K278)</f>
        <v>506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737</v>
      </c>
      <c r="I280" s="18">
        <v>707</v>
      </c>
      <c r="J280" s="18"/>
      <c r="K280" s="18"/>
      <c r="L280" s="19">
        <f t="shared" ref="L280:L286" si="12">SUM(F280:K280)</f>
        <v>1444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7881</v>
      </c>
      <c r="G281" s="18">
        <v>1310</v>
      </c>
      <c r="H281" s="18">
        <v>5929</v>
      </c>
      <c r="I281" s="18">
        <f>206+757</f>
        <v>963</v>
      </c>
      <c r="J281" s="18"/>
      <c r="K281" s="18">
        <v>506</v>
      </c>
      <c r="L281" s="19">
        <f t="shared" si="12"/>
        <v>16589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>
        <v>57</v>
      </c>
      <c r="J282" s="18"/>
      <c r="K282" s="18">
        <v>69</v>
      </c>
      <c r="L282" s="19">
        <f t="shared" si="12"/>
        <v>126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731</v>
      </c>
      <c r="I286" s="18"/>
      <c r="J286" s="18"/>
      <c r="K286" s="18"/>
      <c r="L286" s="19">
        <f t="shared" si="12"/>
        <v>731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121596</v>
      </c>
      <c r="G289" s="42">
        <f t="shared" si="13"/>
        <v>49495</v>
      </c>
      <c r="H289" s="42">
        <f t="shared" si="13"/>
        <v>21038</v>
      </c>
      <c r="I289" s="42">
        <f t="shared" si="13"/>
        <v>5451</v>
      </c>
      <c r="J289" s="42">
        <f t="shared" si="13"/>
        <v>2581</v>
      </c>
      <c r="K289" s="42">
        <f t="shared" si="13"/>
        <v>1536</v>
      </c>
      <c r="L289" s="41">
        <f t="shared" si="13"/>
        <v>201697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41</v>
      </c>
      <c r="J294" s="18"/>
      <c r="K294" s="18"/>
      <c r="L294" s="19">
        <f>SUM(F294:K294)</f>
        <v>41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38240</v>
      </c>
      <c r="G295" s="18">
        <v>16021</v>
      </c>
      <c r="H295" s="18"/>
      <c r="I295" s="18"/>
      <c r="J295" s="18"/>
      <c r="K295" s="18"/>
      <c r="L295" s="19">
        <f>SUM(F295:K295)</f>
        <v>54261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>
        <v>4248</v>
      </c>
      <c r="K297" s="18">
        <v>146</v>
      </c>
      <c r="L297" s="19">
        <f>SUM(F297:K297)</f>
        <v>4394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>
        <v>204</v>
      </c>
      <c r="J299" s="18"/>
      <c r="K299" s="18"/>
      <c r="L299" s="19">
        <f t="shared" ref="L299:L305" si="14">SUM(F299:K299)</f>
        <v>204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1886</v>
      </c>
      <c r="G300" s="18">
        <v>379</v>
      </c>
      <c r="H300" s="18">
        <v>1546</v>
      </c>
      <c r="I300" s="18">
        <f>59+47</f>
        <v>106</v>
      </c>
      <c r="J300" s="18">
        <v>200</v>
      </c>
      <c r="K300" s="18">
        <v>146</v>
      </c>
      <c r="L300" s="19">
        <f t="shared" si="14"/>
        <v>4263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>
        <v>17</v>
      </c>
      <c r="J301" s="18"/>
      <c r="K301" s="18">
        <v>20</v>
      </c>
      <c r="L301" s="19">
        <f t="shared" si="14"/>
        <v>37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51</v>
      </c>
      <c r="I305" s="18"/>
      <c r="J305" s="18"/>
      <c r="K305" s="18"/>
      <c r="L305" s="19">
        <f t="shared" si="14"/>
        <v>51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40126</v>
      </c>
      <c r="G308" s="42">
        <f t="shared" si="15"/>
        <v>16400</v>
      </c>
      <c r="H308" s="42">
        <f t="shared" si="15"/>
        <v>1597</v>
      </c>
      <c r="I308" s="42">
        <f t="shared" si="15"/>
        <v>368</v>
      </c>
      <c r="J308" s="42">
        <f t="shared" si="15"/>
        <v>4448</v>
      </c>
      <c r="K308" s="42">
        <f t="shared" si="15"/>
        <v>312</v>
      </c>
      <c r="L308" s="41">
        <f t="shared" si="15"/>
        <v>63251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4665</v>
      </c>
      <c r="I313" s="18">
        <v>5613</v>
      </c>
      <c r="J313" s="18">
        <v>399</v>
      </c>
      <c r="K313" s="18">
        <v>16801</v>
      </c>
      <c r="L313" s="19">
        <f>SUM(F313:K313)</f>
        <v>27478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17966</v>
      </c>
      <c r="G314" s="18">
        <v>8824</v>
      </c>
      <c r="H314" s="18"/>
      <c r="I314" s="18"/>
      <c r="J314" s="18"/>
      <c r="K314" s="18"/>
      <c r="L314" s="19">
        <f>SUM(F314:K314)</f>
        <v>26790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>
        <v>4248</v>
      </c>
      <c r="K316" s="18">
        <v>348</v>
      </c>
      <c r="L316" s="19">
        <f>SUM(F316:K316)</f>
        <v>4596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f>487</f>
        <v>487</v>
      </c>
      <c r="J318" s="18"/>
      <c r="K318" s="18">
        <v>348</v>
      </c>
      <c r="L318" s="19">
        <f t="shared" ref="L318:L324" si="16">SUM(F318:K318)</f>
        <v>835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4492</v>
      </c>
      <c r="G319" s="18">
        <v>902</v>
      </c>
      <c r="H319" s="18">
        <v>3681</v>
      </c>
      <c r="I319" s="18">
        <f>142+71+45</f>
        <v>258</v>
      </c>
      <c r="J319" s="18">
        <v>685</v>
      </c>
      <c r="K319" s="18"/>
      <c r="L319" s="19">
        <f t="shared" si="16"/>
        <v>10018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>
        <v>39</v>
      </c>
      <c r="J320" s="18"/>
      <c r="K320" s="18">
        <v>47</v>
      </c>
      <c r="L320" s="19">
        <f t="shared" si="16"/>
        <v>86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121+175</f>
        <v>296</v>
      </c>
      <c r="I324" s="18"/>
      <c r="J324" s="18"/>
      <c r="K324" s="18"/>
      <c r="L324" s="19">
        <f t="shared" si="16"/>
        <v>296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22458</v>
      </c>
      <c r="G327" s="42">
        <f t="shared" si="17"/>
        <v>9726</v>
      </c>
      <c r="H327" s="42">
        <f t="shared" si="17"/>
        <v>8642</v>
      </c>
      <c r="I327" s="42">
        <f t="shared" si="17"/>
        <v>6397</v>
      </c>
      <c r="J327" s="42">
        <f t="shared" si="17"/>
        <v>5332</v>
      </c>
      <c r="K327" s="42">
        <f t="shared" si="17"/>
        <v>17544</v>
      </c>
      <c r="L327" s="41">
        <f t="shared" si="17"/>
        <v>70099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>
        <v>2567</v>
      </c>
      <c r="J334" s="18"/>
      <c r="K334" s="18">
        <v>2130</v>
      </c>
      <c r="L334" s="19">
        <f t="shared" si="18"/>
        <v>4697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>
        <v>3700</v>
      </c>
      <c r="K335" s="18"/>
      <c r="L335" s="19">
        <f t="shared" si="18"/>
        <v>3700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2567</v>
      </c>
      <c r="J336" s="41">
        <f t="shared" si="19"/>
        <v>3700</v>
      </c>
      <c r="K336" s="41">
        <f t="shared" si="19"/>
        <v>2130</v>
      </c>
      <c r="L336" s="41">
        <f t="shared" si="18"/>
        <v>8397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184180</v>
      </c>
      <c r="G337" s="41">
        <f t="shared" si="20"/>
        <v>75621</v>
      </c>
      <c r="H337" s="41">
        <f t="shared" si="20"/>
        <v>31277</v>
      </c>
      <c r="I337" s="41">
        <f t="shared" si="20"/>
        <v>14783</v>
      </c>
      <c r="J337" s="41">
        <f t="shared" si="20"/>
        <v>16061</v>
      </c>
      <c r="K337" s="41">
        <f t="shared" si="20"/>
        <v>21522</v>
      </c>
      <c r="L337" s="41">
        <f t="shared" si="20"/>
        <v>343444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184180</v>
      </c>
      <c r="G351" s="41">
        <f>G337</f>
        <v>75621</v>
      </c>
      <c r="H351" s="41">
        <f>H337</f>
        <v>31277</v>
      </c>
      <c r="I351" s="41">
        <f>I337</f>
        <v>14783</v>
      </c>
      <c r="J351" s="41">
        <f>J337</f>
        <v>16061</v>
      </c>
      <c r="K351" s="47">
        <f>K337+K350</f>
        <v>21522</v>
      </c>
      <c r="L351" s="41">
        <f>L337+L350</f>
        <v>343444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87423</v>
      </c>
      <c r="G357" s="18">
        <v>39430</v>
      </c>
      <c r="H357" s="18">
        <f>134+1122+537</f>
        <v>1793</v>
      </c>
      <c r="I357" s="18">
        <v>57440</v>
      </c>
      <c r="J357" s="18"/>
      <c r="K357" s="18">
        <v>366</v>
      </c>
      <c r="L357" s="13">
        <f>SUM(F357:K357)</f>
        <v>186452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20651</v>
      </c>
      <c r="G358" s="18">
        <v>8885</v>
      </c>
      <c r="H358" s="18">
        <f>39+306+155</f>
        <v>500</v>
      </c>
      <c r="I358" s="18">
        <v>22364</v>
      </c>
      <c r="J358" s="18"/>
      <c r="K358" s="18">
        <v>107</v>
      </c>
      <c r="L358" s="19">
        <f>SUM(F358:K358)</f>
        <v>52507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48441</v>
      </c>
      <c r="G359" s="18">
        <v>20924</v>
      </c>
      <c r="H359" s="18">
        <f>92+716+370</f>
        <v>1178</v>
      </c>
      <c r="I359" s="18">
        <v>52285</v>
      </c>
      <c r="J359" s="18"/>
      <c r="K359" s="18">
        <v>255</v>
      </c>
      <c r="L359" s="19">
        <f>SUM(F359:K359)</f>
        <v>123083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156515</v>
      </c>
      <c r="G361" s="47">
        <f t="shared" si="22"/>
        <v>69239</v>
      </c>
      <c r="H361" s="47">
        <f t="shared" si="22"/>
        <v>3471</v>
      </c>
      <c r="I361" s="47">
        <f t="shared" si="22"/>
        <v>132089</v>
      </c>
      <c r="J361" s="47">
        <f t="shared" si="22"/>
        <v>0</v>
      </c>
      <c r="K361" s="47">
        <f t="shared" si="22"/>
        <v>728</v>
      </c>
      <c r="L361" s="47">
        <f t="shared" si="22"/>
        <v>362042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19263+17373+6412</f>
        <v>43048</v>
      </c>
      <c r="G366" s="18">
        <f>1854+17236</f>
        <v>19090</v>
      </c>
      <c r="H366" s="18">
        <f>4414+40217</f>
        <v>44631</v>
      </c>
      <c r="I366" s="56">
        <f>SUM(F366:H366)</f>
        <v>106769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14392</v>
      </c>
      <c r="G367" s="63">
        <v>3274</v>
      </c>
      <c r="H367" s="63">
        <v>7654</v>
      </c>
      <c r="I367" s="56">
        <f>SUM(F367:H367)</f>
        <v>25320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57440</v>
      </c>
      <c r="G368" s="47">
        <f>SUM(G366:G367)</f>
        <v>22364</v>
      </c>
      <c r="H368" s="47">
        <f>SUM(H366:H367)</f>
        <v>52285</v>
      </c>
      <c r="I368" s="47">
        <f>SUM(I366:I367)</f>
        <v>132089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162</v>
      </c>
      <c r="I388" s="18"/>
      <c r="J388" s="24" t="s">
        <v>289</v>
      </c>
      <c r="K388" s="24" t="s">
        <v>289</v>
      </c>
      <c r="L388" s="56">
        <f t="shared" si="25"/>
        <v>25162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10000</v>
      </c>
      <c r="H391" s="18">
        <v>9</v>
      </c>
      <c r="I391" s="18"/>
      <c r="J391" s="24" t="s">
        <v>289</v>
      </c>
      <c r="K391" s="24" t="s">
        <v>289</v>
      </c>
      <c r="L391" s="56">
        <f t="shared" si="25"/>
        <v>10009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35000</v>
      </c>
      <c r="H392" s="139">
        <f>SUM(H386:H391)</f>
        <v>171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35171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>
        <v>15000</v>
      </c>
      <c r="H394" s="18">
        <v>61</v>
      </c>
      <c r="I394" s="18"/>
      <c r="J394" s="24" t="s">
        <v>289</v>
      </c>
      <c r="K394" s="24" t="s">
        <v>289</v>
      </c>
      <c r="L394" s="56">
        <f t="shared" ref="L394:L399" si="26">SUM(F394:K394)</f>
        <v>15061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305</v>
      </c>
      <c r="I396" s="18"/>
      <c r="J396" s="24" t="s">
        <v>289</v>
      </c>
      <c r="K396" s="24" t="s">
        <v>289</v>
      </c>
      <c r="L396" s="56">
        <f t="shared" si="26"/>
        <v>305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366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15366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537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50537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>
        <v>16991</v>
      </c>
      <c r="K413" s="18"/>
      <c r="L413" s="56">
        <f t="shared" si="27"/>
        <v>16991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16991</v>
      </c>
      <c r="K418" s="139">
        <f t="shared" si="28"/>
        <v>0</v>
      </c>
      <c r="L418" s="47">
        <f t="shared" si="28"/>
        <v>16991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16991</v>
      </c>
      <c r="K433" s="47">
        <f t="shared" si="32"/>
        <v>0</v>
      </c>
      <c r="L433" s="47">
        <f t="shared" si="32"/>
        <v>16991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236619</v>
      </c>
      <c r="G438" s="18">
        <f>169664+65193</f>
        <v>234857</v>
      </c>
      <c r="H438" s="18"/>
      <c r="I438" s="56">
        <f t="shared" ref="I438:I444" si="33">SUM(F438:H438)</f>
        <v>471476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236619</v>
      </c>
      <c r="G445" s="13">
        <f>SUM(G438:G444)</f>
        <v>234857</v>
      </c>
      <c r="H445" s="13">
        <f>SUM(H438:H444)</f>
        <v>0</v>
      </c>
      <c r="I445" s="13">
        <f>SUM(I438:I444)</f>
        <v>471476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236619</v>
      </c>
      <c r="G458" s="18">
        <v>234857</v>
      </c>
      <c r="H458" s="18"/>
      <c r="I458" s="56">
        <f t="shared" si="34"/>
        <v>471476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236619</v>
      </c>
      <c r="G459" s="83">
        <f>SUM(G453:G458)</f>
        <v>234857</v>
      </c>
      <c r="H459" s="83">
        <f>SUM(H453:H458)</f>
        <v>0</v>
      </c>
      <c r="I459" s="83">
        <f>SUM(I453:I458)</f>
        <v>471476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236619</v>
      </c>
      <c r="G460" s="42">
        <f>G451+G459</f>
        <v>234857</v>
      </c>
      <c r="H460" s="42">
        <f>H451+H459</f>
        <v>0</v>
      </c>
      <c r="I460" s="42">
        <f>I451+I459</f>
        <v>471476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404738</v>
      </c>
      <c r="G464" s="18">
        <v>0</v>
      </c>
      <c r="H464" s="18">
        <v>0</v>
      </c>
      <c r="I464" s="18">
        <v>0</v>
      </c>
      <c r="J464" s="18">
        <v>437930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15794913</v>
      </c>
      <c r="G467" s="18">
        <f>G192</f>
        <v>362042</v>
      </c>
      <c r="H467" s="18">
        <f>H192</f>
        <v>343444</v>
      </c>
      <c r="I467" s="18">
        <v>0</v>
      </c>
      <c r="J467" s="18">
        <f>L407</f>
        <v>50537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15794913</v>
      </c>
      <c r="G469" s="53">
        <f>SUM(G467:G468)</f>
        <v>362042</v>
      </c>
      <c r="H469" s="53">
        <f>SUM(H467:H468)</f>
        <v>343444</v>
      </c>
      <c r="I469" s="53">
        <f>SUM(I467:I468)</f>
        <v>0</v>
      </c>
      <c r="J469" s="53">
        <f>SUM(J467:J468)</f>
        <v>50537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15594205</v>
      </c>
      <c r="G471" s="18">
        <f>L361</f>
        <v>362042</v>
      </c>
      <c r="H471" s="18">
        <f>L351</f>
        <v>343444</v>
      </c>
      <c r="I471" s="18">
        <v>0</v>
      </c>
      <c r="J471" s="18">
        <f>L433</f>
        <v>16991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15594205</v>
      </c>
      <c r="G473" s="53">
        <f>SUM(G471:G472)</f>
        <v>362042</v>
      </c>
      <c r="H473" s="53">
        <f>SUM(H471:H472)</f>
        <v>343444</v>
      </c>
      <c r="I473" s="53">
        <f>SUM(I471:I472)</f>
        <v>0</v>
      </c>
      <c r="J473" s="53">
        <f>SUM(J471:J472)</f>
        <v>16991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605446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471476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4745000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2885000</v>
      </c>
      <c r="G494" s="18"/>
      <c r="H494" s="18"/>
      <c r="I494" s="18"/>
      <c r="J494" s="18"/>
      <c r="K494" s="53">
        <f>SUM(F494:J494)</f>
        <v>2885000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430000</v>
      </c>
      <c r="G496" s="18"/>
      <c r="H496" s="18"/>
      <c r="I496" s="18"/>
      <c r="J496" s="18"/>
      <c r="K496" s="53">
        <f t="shared" si="35"/>
        <v>430000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+F494-F496</f>
        <v>2455000</v>
      </c>
      <c r="G497" s="204"/>
      <c r="H497" s="204"/>
      <c r="I497" s="204"/>
      <c r="J497" s="204"/>
      <c r="K497" s="205">
        <f t="shared" si="35"/>
        <v>2455000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530988-131025-114413</f>
        <v>285550</v>
      </c>
      <c r="G498" s="18"/>
      <c r="H498" s="18"/>
      <c r="I498" s="18"/>
      <c r="J498" s="18"/>
      <c r="K498" s="53">
        <f t="shared" si="35"/>
        <v>285550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2740550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2740550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450000</v>
      </c>
      <c r="G500" s="204"/>
      <c r="H500" s="204"/>
      <c r="I500" s="204"/>
      <c r="J500" s="204"/>
      <c r="K500" s="205">
        <f t="shared" si="35"/>
        <v>450000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97100</v>
      </c>
      <c r="G501" s="18"/>
      <c r="H501" s="18"/>
      <c r="I501" s="18"/>
      <c r="J501" s="18"/>
      <c r="K501" s="53">
        <f t="shared" si="35"/>
        <v>97100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547100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547100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49270</v>
      </c>
      <c r="G510" s="24" t="s">
        <v>289</v>
      </c>
      <c r="H510" s="18">
        <v>49270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f>513829+48300</f>
        <v>562129</v>
      </c>
      <c r="G511" s="24" t="s">
        <v>289</v>
      </c>
      <c r="H511" s="18">
        <f>513829+48300</f>
        <v>562129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16768755</v>
      </c>
      <c r="G512" s="24" t="s">
        <v>289</v>
      </c>
      <c r="H512" s="18">
        <f>16785746-340</f>
        <v>16785406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669858</v>
      </c>
      <c r="G513" s="24" t="s">
        <v>289</v>
      </c>
      <c r="H513" s="18">
        <v>653129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f>F516</f>
        <v>18050012</v>
      </c>
      <c r="H515" s="24" t="s">
        <v>289</v>
      </c>
      <c r="I515" s="18">
        <f>H516</f>
        <v>18049934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18050012</v>
      </c>
      <c r="G516" s="42">
        <f>SUM(G510:G515)</f>
        <v>18050012</v>
      </c>
      <c r="H516" s="42">
        <f>SUM(H510:H515)</f>
        <v>18049934</v>
      </c>
      <c r="I516" s="42">
        <f>SUM(I510:I515)</f>
        <v>18049934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920052+81679</f>
        <v>1001731</v>
      </c>
      <c r="G520" s="18">
        <f>281036+38280</f>
        <v>319316</v>
      </c>
      <c r="H520" s="18">
        <v>120269</v>
      </c>
      <c r="I520" s="18">
        <v>2890</v>
      </c>
      <c r="J520" s="18">
        <v>1126</v>
      </c>
      <c r="K520" s="18">
        <v>134</v>
      </c>
      <c r="L520" s="88">
        <f>SUM(F520:K520)</f>
        <v>1445466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225573+38240</f>
        <v>263813</v>
      </c>
      <c r="G521" s="18">
        <f>101240+16021</f>
        <v>117261</v>
      </c>
      <c r="H521" s="18">
        <v>15002</v>
      </c>
      <c r="I521" s="18">
        <v>478</v>
      </c>
      <c r="J521" s="18">
        <v>516</v>
      </c>
      <c r="K521" s="18">
        <v>39</v>
      </c>
      <c r="L521" s="88">
        <f>SUM(F521:K521)</f>
        <v>397109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517158+17966</f>
        <v>535124</v>
      </c>
      <c r="G522" s="18">
        <f>193384+8824</f>
        <v>202208</v>
      </c>
      <c r="H522" s="18">
        <v>65863</v>
      </c>
      <c r="I522" s="18">
        <v>1735</v>
      </c>
      <c r="J522" s="18">
        <v>1979</v>
      </c>
      <c r="K522" s="18">
        <v>92</v>
      </c>
      <c r="L522" s="88">
        <f>SUM(F522:K522)</f>
        <v>807001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1800668</v>
      </c>
      <c r="G523" s="108">
        <f t="shared" ref="G523:L523" si="36">SUM(G520:G522)</f>
        <v>638785</v>
      </c>
      <c r="H523" s="108">
        <f t="shared" si="36"/>
        <v>201134</v>
      </c>
      <c r="I523" s="108">
        <f t="shared" si="36"/>
        <v>5103</v>
      </c>
      <c r="J523" s="108">
        <f t="shared" si="36"/>
        <v>3621</v>
      </c>
      <c r="K523" s="108">
        <f t="shared" si="36"/>
        <v>265</v>
      </c>
      <c r="L523" s="89">
        <f t="shared" si="36"/>
        <v>2649576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113284+34997+152404+52139</f>
        <v>352824</v>
      </c>
      <c r="G525" s="18">
        <f>42168+7329+68600+15382</f>
        <v>133479</v>
      </c>
      <c r="H525" s="18">
        <f>812+21058+5151+20899+9964</f>
        <v>57884</v>
      </c>
      <c r="I525" s="18">
        <f>374+223+1220+135</f>
        <v>1952</v>
      </c>
      <c r="J525" s="18">
        <f>209</f>
        <v>209</v>
      </c>
      <c r="K525" s="18"/>
      <c r="L525" s="88">
        <f>SUM(F525:K525)</f>
        <v>546348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37202+10118+7212+15074</f>
        <v>69606</v>
      </c>
      <c r="G526" s="18">
        <f>18300+2119+3454+4447</f>
        <v>28320</v>
      </c>
      <c r="H526" s="18">
        <f>21+3399+1489+1958+207</f>
        <v>7074</v>
      </c>
      <c r="I526" s="18">
        <f>147+64+13</f>
        <v>224</v>
      </c>
      <c r="J526" s="18">
        <f>79+60</f>
        <v>139</v>
      </c>
      <c r="K526" s="18"/>
      <c r="L526" s="88">
        <f>SUM(F526:K526)</f>
        <v>105363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119103+24096+11182+35898</f>
        <v>190279</v>
      </c>
      <c r="G527" s="18">
        <f>57050+5046+5251+10591</f>
        <v>77938</v>
      </c>
      <c r="H527" s="18">
        <f>51+8096+3546+6266+493</f>
        <v>18452</v>
      </c>
      <c r="I527" s="18">
        <f>498+153+31</f>
        <v>682</v>
      </c>
      <c r="J527" s="18">
        <f>118+144</f>
        <v>262</v>
      </c>
      <c r="K527" s="18"/>
      <c r="L527" s="88">
        <f>SUM(F527:K527)</f>
        <v>287613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612709</v>
      </c>
      <c r="G528" s="89">
        <f t="shared" ref="G528:L528" si="37">SUM(G525:G527)</f>
        <v>239737</v>
      </c>
      <c r="H528" s="89">
        <f t="shared" si="37"/>
        <v>83410</v>
      </c>
      <c r="I528" s="89">
        <f t="shared" si="37"/>
        <v>2858</v>
      </c>
      <c r="J528" s="89">
        <f t="shared" si="37"/>
        <v>610</v>
      </c>
      <c r="K528" s="89">
        <f t="shared" si="37"/>
        <v>0</v>
      </c>
      <c r="L528" s="89">
        <f t="shared" si="37"/>
        <v>939324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64851</v>
      </c>
      <c r="G530" s="18">
        <v>26868</v>
      </c>
      <c r="H530" s="18"/>
      <c r="I530" s="18">
        <v>764</v>
      </c>
      <c r="J530" s="18"/>
      <c r="K530" s="18"/>
      <c r="L530" s="88">
        <f>SUM(F530:K530)</f>
        <v>92483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18749</v>
      </c>
      <c r="G531" s="18">
        <v>7768</v>
      </c>
      <c r="H531" s="18"/>
      <c r="I531" s="18">
        <v>221</v>
      </c>
      <c r="J531" s="18"/>
      <c r="K531" s="18"/>
      <c r="L531" s="88">
        <f>SUM(F531:K531)</f>
        <v>26738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44650</v>
      </c>
      <c r="G532" s="18">
        <v>18499</v>
      </c>
      <c r="H532" s="18"/>
      <c r="I532" s="18">
        <v>526</v>
      </c>
      <c r="J532" s="18"/>
      <c r="K532" s="18"/>
      <c r="L532" s="88">
        <f>SUM(F532:K532)</f>
        <v>63675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128250</v>
      </c>
      <c r="G533" s="89">
        <f t="shared" ref="G533:L533" si="38">SUM(G530:G532)</f>
        <v>53135</v>
      </c>
      <c r="H533" s="89">
        <f t="shared" si="38"/>
        <v>0</v>
      </c>
      <c r="I533" s="89">
        <f t="shared" si="38"/>
        <v>1511</v>
      </c>
      <c r="J533" s="89">
        <f t="shared" si="38"/>
        <v>0</v>
      </c>
      <c r="K533" s="89">
        <f t="shared" si="38"/>
        <v>0</v>
      </c>
      <c r="L533" s="89">
        <f t="shared" si="38"/>
        <v>182896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2274</v>
      </c>
      <c r="I535" s="18"/>
      <c r="J535" s="18"/>
      <c r="K535" s="18"/>
      <c r="L535" s="88">
        <f>SUM(F535:K535)</f>
        <v>2274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657</v>
      </c>
      <c r="I536" s="18"/>
      <c r="J536" s="18"/>
      <c r="K536" s="18"/>
      <c r="L536" s="88">
        <f>SUM(F536:K536)</f>
        <v>657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1566</v>
      </c>
      <c r="I537" s="18"/>
      <c r="J537" s="18"/>
      <c r="K537" s="18"/>
      <c r="L537" s="88">
        <f>SUM(F537:K537)</f>
        <v>1566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4497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4497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11500</v>
      </c>
      <c r="G540" s="18">
        <v>3804</v>
      </c>
      <c r="H540" s="18">
        <v>80914</v>
      </c>
      <c r="I540" s="18">
        <v>1969</v>
      </c>
      <c r="J540" s="18"/>
      <c r="K540" s="18">
        <v>133</v>
      </c>
      <c r="L540" s="88">
        <f>SUM(F540:K540)</f>
        <v>98320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3325</v>
      </c>
      <c r="G541" s="18">
        <v>1100</v>
      </c>
      <c r="H541" s="18">
        <v>72</v>
      </c>
      <c r="I541" s="18">
        <v>569</v>
      </c>
      <c r="J541" s="18"/>
      <c r="K541" s="18">
        <v>38</v>
      </c>
      <c r="L541" s="88">
        <f>SUM(F541:K541)</f>
        <v>5104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7918</v>
      </c>
      <c r="G542" s="18">
        <v>2619</v>
      </c>
      <c r="H542" s="18">
        <v>171</v>
      </c>
      <c r="I542" s="18">
        <v>1356</v>
      </c>
      <c r="J542" s="18"/>
      <c r="K542" s="18">
        <v>91</v>
      </c>
      <c r="L542" s="88">
        <f>SUM(F542:K542)</f>
        <v>12155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22743</v>
      </c>
      <c r="G543" s="193">
        <f t="shared" ref="G543:L543" si="40">SUM(G540:G542)</f>
        <v>7523</v>
      </c>
      <c r="H543" s="193">
        <f t="shared" si="40"/>
        <v>81157</v>
      </c>
      <c r="I543" s="193">
        <f t="shared" si="40"/>
        <v>3894</v>
      </c>
      <c r="J543" s="193">
        <f t="shared" si="40"/>
        <v>0</v>
      </c>
      <c r="K543" s="193">
        <f t="shared" si="40"/>
        <v>262</v>
      </c>
      <c r="L543" s="193">
        <f t="shared" si="40"/>
        <v>115579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2564370</v>
      </c>
      <c r="G544" s="89">
        <f t="shared" ref="G544:L544" si="41">G523+G528+G533+G538+G543</f>
        <v>939180</v>
      </c>
      <c r="H544" s="89">
        <f t="shared" si="41"/>
        <v>370198</v>
      </c>
      <c r="I544" s="89">
        <f t="shared" si="41"/>
        <v>13366</v>
      </c>
      <c r="J544" s="89">
        <f t="shared" si="41"/>
        <v>4231</v>
      </c>
      <c r="K544" s="89">
        <f t="shared" si="41"/>
        <v>527</v>
      </c>
      <c r="L544" s="89">
        <f t="shared" si="41"/>
        <v>3891872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1445466</v>
      </c>
      <c r="G548" s="87">
        <f>L525</f>
        <v>546348</v>
      </c>
      <c r="H548" s="87">
        <f>L530</f>
        <v>92483</v>
      </c>
      <c r="I548" s="87">
        <f>L535</f>
        <v>2274</v>
      </c>
      <c r="J548" s="87">
        <f>L540</f>
        <v>98320</v>
      </c>
      <c r="K548" s="87">
        <f>SUM(F548:J548)</f>
        <v>2184891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397109</v>
      </c>
      <c r="G549" s="87">
        <f>L526</f>
        <v>105363</v>
      </c>
      <c r="H549" s="87">
        <f>L531</f>
        <v>26738</v>
      </c>
      <c r="I549" s="87">
        <f>L536</f>
        <v>657</v>
      </c>
      <c r="J549" s="87">
        <f>L541</f>
        <v>5104</v>
      </c>
      <c r="K549" s="87">
        <f>SUM(F549:J549)</f>
        <v>534971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807001</v>
      </c>
      <c r="G550" s="87">
        <f>L527</f>
        <v>287613</v>
      </c>
      <c r="H550" s="87">
        <f>L532</f>
        <v>63675</v>
      </c>
      <c r="I550" s="87">
        <f>L537</f>
        <v>1566</v>
      </c>
      <c r="J550" s="87">
        <f>L542</f>
        <v>12155</v>
      </c>
      <c r="K550" s="87">
        <f>SUM(F550:J550)</f>
        <v>1172010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2649576</v>
      </c>
      <c r="G551" s="89">
        <f t="shared" si="42"/>
        <v>939324</v>
      </c>
      <c r="H551" s="89">
        <f t="shared" si="42"/>
        <v>182896</v>
      </c>
      <c r="I551" s="89">
        <f t="shared" si="42"/>
        <v>4497</v>
      </c>
      <c r="J551" s="89">
        <f t="shared" si="42"/>
        <v>115579</v>
      </c>
      <c r="K551" s="89">
        <f t="shared" si="42"/>
        <v>3891872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19167</v>
      </c>
      <c r="G563" s="18">
        <v>1466</v>
      </c>
      <c r="H563" s="18">
        <v>5940</v>
      </c>
      <c r="I563" s="18">
        <v>42</v>
      </c>
      <c r="J563" s="18"/>
      <c r="K563" s="18"/>
      <c r="L563" s="88">
        <f>SUM(F563:K563)</f>
        <v>26615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19167</v>
      </c>
      <c r="G564" s="89">
        <f t="shared" si="44"/>
        <v>1466</v>
      </c>
      <c r="H564" s="89">
        <f t="shared" si="44"/>
        <v>5940</v>
      </c>
      <c r="I564" s="89">
        <f t="shared" si="44"/>
        <v>42</v>
      </c>
      <c r="J564" s="89">
        <f t="shared" si="44"/>
        <v>0</v>
      </c>
      <c r="K564" s="89">
        <f t="shared" si="44"/>
        <v>0</v>
      </c>
      <c r="L564" s="89">
        <f t="shared" si="44"/>
        <v>26615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19167</v>
      </c>
      <c r="G570" s="89">
        <f t="shared" ref="G570:L570" si="46">G559+G564+G569</f>
        <v>1466</v>
      </c>
      <c r="H570" s="89">
        <f t="shared" si="46"/>
        <v>5940</v>
      </c>
      <c r="I570" s="89">
        <f t="shared" si="46"/>
        <v>42</v>
      </c>
      <c r="J570" s="89">
        <f t="shared" si="46"/>
        <v>0</v>
      </c>
      <c r="K570" s="89">
        <f t="shared" si="46"/>
        <v>0</v>
      </c>
      <c r="L570" s="89">
        <f t="shared" si="46"/>
        <v>26615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3480</v>
      </c>
      <c r="G578" s="18">
        <v>4519</v>
      </c>
      <c r="H578" s="18"/>
      <c r="I578" s="87">
        <f t="shared" si="47"/>
        <v>7999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94515</v>
      </c>
      <c r="G581" s="18"/>
      <c r="H581" s="18">
        <v>43211</v>
      </c>
      <c r="I581" s="87">
        <f t="shared" si="47"/>
        <v>137726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28469</v>
      </c>
      <c r="I583" s="87">
        <f t="shared" si="47"/>
        <v>28469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217111</v>
      </c>
      <c r="I590" s="18">
        <v>61556</v>
      </c>
      <c r="J590" s="18">
        <v>158816</v>
      </c>
      <c r="K590" s="104">
        <f t="shared" ref="K590:K596" si="48">SUM(H590:J590)</f>
        <v>437483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103022</v>
      </c>
      <c r="I591" s="18">
        <v>3713</v>
      </c>
      <c r="J591" s="18">
        <v>8844</v>
      </c>
      <c r="K591" s="104">
        <f t="shared" si="48"/>
        <v>115579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24086</v>
      </c>
      <c r="K592" s="104">
        <f t="shared" si="48"/>
        <v>24086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10076</v>
      </c>
      <c r="J593" s="18">
        <v>42136</v>
      </c>
      <c r="K593" s="104">
        <f t="shared" si="48"/>
        <v>52212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2642</v>
      </c>
      <c r="I594" s="18">
        <v>557</v>
      </c>
      <c r="J594" s="18">
        <v>2248</v>
      </c>
      <c r="K594" s="104">
        <f t="shared" si="48"/>
        <v>5447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322775</v>
      </c>
      <c r="I597" s="108">
        <f>SUM(I590:I596)</f>
        <v>75902</v>
      </c>
      <c r="J597" s="108">
        <f>SUM(J590:J596)</f>
        <v>236130</v>
      </c>
      <c r="K597" s="108">
        <f>SUM(K590:K596)</f>
        <v>634807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79509</v>
      </c>
      <c r="I603" s="18">
        <v>22623</v>
      </c>
      <c r="J603" s="18">
        <v>56935</v>
      </c>
      <c r="K603" s="104">
        <f>SUM(H603:J603)</f>
        <v>159067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79509</v>
      </c>
      <c r="I604" s="108">
        <f>SUM(I601:I603)</f>
        <v>22623</v>
      </c>
      <c r="J604" s="108">
        <f>SUM(J601:J603)</f>
        <v>56935</v>
      </c>
      <c r="K604" s="108">
        <f>SUM(K601:K603)</f>
        <v>159067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12868+571+1343+1235</f>
        <v>16017</v>
      </c>
      <c r="G610" s="18">
        <f>1996+108+103+102</f>
        <v>2309</v>
      </c>
      <c r="H610" s="18"/>
      <c r="I610" s="18"/>
      <c r="J610" s="18"/>
      <c r="K610" s="18"/>
      <c r="L610" s="88">
        <f>SUM(F610:K610)</f>
        <v>18326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3720+165+388+357</f>
        <v>4630</v>
      </c>
      <c r="G611" s="18">
        <f>577+31+30+30</f>
        <v>668</v>
      </c>
      <c r="H611" s="18"/>
      <c r="I611" s="18"/>
      <c r="J611" s="18"/>
      <c r="K611" s="18"/>
      <c r="L611" s="88">
        <f>SUM(F611:K611)</f>
        <v>5298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8860+393+925+850</f>
        <v>11028</v>
      </c>
      <c r="G612" s="18">
        <f>1374+75+71+70</f>
        <v>1590</v>
      </c>
      <c r="H612" s="18"/>
      <c r="I612" s="18"/>
      <c r="J612" s="18"/>
      <c r="K612" s="18"/>
      <c r="L612" s="88">
        <f>SUM(F612:K612)</f>
        <v>12618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31675</v>
      </c>
      <c r="G613" s="108">
        <f t="shared" si="49"/>
        <v>4567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36242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700609</v>
      </c>
      <c r="H616" s="109">
        <f>SUM(F51)</f>
        <v>700609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28010</v>
      </c>
      <c r="H617" s="109">
        <f>SUM(G51)</f>
        <v>28010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102629</v>
      </c>
      <c r="H618" s="109">
        <f>SUM(H51)</f>
        <v>102629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471476</v>
      </c>
      <c r="H620" s="109">
        <f>SUM(J51)</f>
        <v>471476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605446</v>
      </c>
      <c r="H621" s="109">
        <f>F475</f>
        <v>605446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471476</v>
      </c>
      <c r="H625" s="109">
        <f>J475</f>
        <v>471476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15794913</v>
      </c>
      <c r="H626" s="104">
        <f>SUM(F467)</f>
        <v>15794913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362042</v>
      </c>
      <c r="H627" s="104">
        <f>SUM(G467)</f>
        <v>362042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343444</v>
      </c>
      <c r="H628" s="104">
        <f>SUM(H467)</f>
        <v>343444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50537</v>
      </c>
      <c r="H630" s="104">
        <f>SUM(J467)</f>
        <v>50537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15594205</v>
      </c>
      <c r="H631" s="104">
        <f>SUM(F471)</f>
        <v>15594205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343444</v>
      </c>
      <c r="H632" s="104">
        <f>SUM(H471)</f>
        <v>343444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132089</v>
      </c>
      <c r="H633" s="104">
        <f>I368</f>
        <v>132089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362042</v>
      </c>
      <c r="H634" s="104">
        <f>SUM(G471)</f>
        <v>362042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50537</v>
      </c>
      <c r="H636" s="164">
        <f>SUM(J467)</f>
        <v>50537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16991</v>
      </c>
      <c r="H637" s="164">
        <f>SUM(J471)</f>
        <v>16991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236619</v>
      </c>
      <c r="H638" s="104">
        <f>SUM(F460)</f>
        <v>236619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234857</v>
      </c>
      <c r="H639" s="104">
        <f>SUM(G460)</f>
        <v>234857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471476</v>
      </c>
      <c r="H641" s="104">
        <f>SUM(I460)</f>
        <v>471476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537</v>
      </c>
      <c r="H643" s="104">
        <f>H407</f>
        <v>537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50537</v>
      </c>
      <c r="H645" s="104">
        <f>L407</f>
        <v>50537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634807</v>
      </c>
      <c r="H646" s="104">
        <f>L207+L225+L243</f>
        <v>634807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159067</v>
      </c>
      <c r="H647" s="104">
        <f>(J256+J337)-(J254+J335)</f>
        <v>159067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322775</v>
      </c>
      <c r="H648" s="104">
        <f>H597</f>
        <v>322775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75902</v>
      </c>
      <c r="H649" s="104">
        <f>I597</f>
        <v>75902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236130</v>
      </c>
      <c r="H650" s="104">
        <f>J597</f>
        <v>236130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92865</v>
      </c>
      <c r="H651" s="104">
        <f>K262+K344</f>
        <v>92865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3480</v>
      </c>
      <c r="H652" s="104">
        <f>K263</f>
        <v>3480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7723383</v>
      </c>
      <c r="G659" s="19">
        <f>(L228+L308+L358)</f>
        <v>2410162</v>
      </c>
      <c r="H659" s="19">
        <f>(L246+L327+L359)</f>
        <v>5466991</v>
      </c>
      <c r="I659" s="19">
        <f>SUM(F659:H659)</f>
        <v>15600536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103567.73552239795</v>
      </c>
      <c r="G660" s="19">
        <f>(L358/IF(SUM(L357:L359)=0,1,SUM(L357:L359))*(SUM(G96:G109)))</f>
        <v>29165.850133409938</v>
      </c>
      <c r="H660" s="19">
        <f>(L359/IF(SUM(L357:L359)=0,1,SUM(L357:L359))*(SUM(G96:G109)))</f>
        <v>68368.414344192104</v>
      </c>
      <c r="I660" s="19">
        <f>SUM(F660:H660)</f>
        <v>201102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323506</v>
      </c>
      <c r="G661" s="19">
        <f>(L225+L305)-(J225+J305)</f>
        <v>75953</v>
      </c>
      <c r="H661" s="19">
        <f>(L243+L324)-(J243+J324)</f>
        <v>236426</v>
      </c>
      <c r="I661" s="19">
        <f>SUM(F661:H661)</f>
        <v>635885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195830</v>
      </c>
      <c r="G662" s="199">
        <f>SUM(G574:G586)+SUM(I601:I603)+L611</f>
        <v>32440</v>
      </c>
      <c r="H662" s="199">
        <f>SUM(H574:H586)+SUM(J601:J603)+L612</f>
        <v>141233</v>
      </c>
      <c r="I662" s="19">
        <f>SUM(F662:H662)</f>
        <v>369503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7100479.2644776022</v>
      </c>
      <c r="G663" s="19">
        <f>G659-SUM(G660:G662)</f>
        <v>2272603.1498665903</v>
      </c>
      <c r="H663" s="19">
        <f>H659-SUM(H660:H662)</f>
        <v>5020963.5856558075</v>
      </c>
      <c r="I663" s="19">
        <f>I659-SUM(I660:I662)</f>
        <v>14394046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456.09</v>
      </c>
      <c r="G664" s="248">
        <v>131.86000000000001</v>
      </c>
      <c r="H664" s="248">
        <v>313.87</v>
      </c>
      <c r="I664" s="19">
        <f>SUM(F664:H664)</f>
        <v>901.82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15568.15</v>
      </c>
      <c r="G666" s="19">
        <f>ROUND(G663/G664,2)</f>
        <v>17234.97</v>
      </c>
      <c r="H666" s="19">
        <f>ROUND(H663/H664,2)</f>
        <v>15996.95</v>
      </c>
      <c r="I666" s="19">
        <f>ROUND(I663/I664,2)</f>
        <v>15961.11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-4.5199999999999996</v>
      </c>
      <c r="I669" s="19">
        <f>SUM(F669:H669)</f>
        <v>-4.5199999999999996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15568.15</v>
      </c>
      <c r="G671" s="19">
        <f>ROUND((G663+G668)/(G664+G669),2)</f>
        <v>17234.97</v>
      </c>
      <c r="H671" s="19">
        <f>ROUND((H663+H668)/(H664+H669),2)</f>
        <v>16230.69</v>
      </c>
      <c r="I671" s="19">
        <f>ROUND((I663+I668)/(I664+I669),2)</f>
        <v>16041.51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0" orientation="landscape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1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0" zoomScale="150" zoomScaleNormal="150" zoomScalePageLayoutView="150" workbookViewId="0">
      <selection activeCell="C53" sqref="C53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HOPKINTON SCHOOL DISTRICT - SAU66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4605535</v>
      </c>
      <c r="C9" s="229">
        <f>'DOE25'!G196+'DOE25'!G214+'DOE25'!G232+'DOE25'!G275+'DOE25'!G294+'DOE25'!G313</f>
        <v>2004634</v>
      </c>
    </row>
    <row r="10" spans="1:3" x14ac:dyDescent="0.2">
      <c r="A10" t="s">
        <v>779</v>
      </c>
      <c r="B10" s="240">
        <f>2000+49333+68474+4990+1126516+30099+11028+3533+120+32828+848121+12532+33+741+723903+31352+4319+3098+1691+1436903+35584+39671+18747+764+2136+27939-2307</f>
        <v>4514148</v>
      </c>
      <c r="C10" s="240">
        <f>153+226+2052+5338+4624+12937+1399+5445+80301+239998+1045+35864+86272+124274+919+215+4+4+2+14+8890+1263+2431+3709+177964+24520+64308+95439+48+11+70+18+156921+21194+56597+85304+1786-35-1530+313-7-1-30+226+350+128+191+338561+44639+109269+155866+3024+1660-66+1425+2118+163+241</f>
        <v>1958064</v>
      </c>
    </row>
    <row r="11" spans="1:3" x14ac:dyDescent="0.2">
      <c r="A11" t="s">
        <v>780</v>
      </c>
      <c r="B11" s="240">
        <f>14110+6940+14303+284+423+1133</f>
        <v>37193</v>
      </c>
      <c r="C11" s="240">
        <f>36417+2712+1077+229+13+1+2+1108+294+35+38+87+66</f>
        <v>42079</v>
      </c>
    </row>
    <row r="12" spans="1:3" x14ac:dyDescent="0.2">
      <c r="A12" t="s">
        <v>781</v>
      </c>
      <c r="B12" s="240">
        <f>4576+4970+930+65+570+210+65+130+1260+360+130+1470+88+390+130+125+910+65+65+19303+17727+655</f>
        <v>54194</v>
      </c>
      <c r="C12" s="240">
        <f>350+72+308+86+20+8+2+308+72+22+5+5+2+4+1+5+8+2+35+8+8+2+58+13+4+1+4+1+24+6+10+10+16+56+14+91+21-107+1530+1356+50</f>
        <v>4491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4605535</v>
      </c>
      <c r="C13" s="231">
        <f>SUM(C10:C12)</f>
        <v>2004634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1800668</v>
      </c>
      <c r="C18" s="229">
        <f>'DOE25'!G197+'DOE25'!G215+'DOE25'!G233+'DOE25'!G276+'DOE25'!G295+'DOE25'!G314</f>
        <v>638785</v>
      </c>
    </row>
    <row r="19" spans="1:3" x14ac:dyDescent="0.2">
      <c r="A19" t="s">
        <v>779</v>
      </c>
      <c r="B19" s="240">
        <f>15303+19167+56423+148130+4229+239464+2802+138378+1298+290763+2293+2940+33876+31871+29596+33159+6110-6</f>
        <v>1055796</v>
      </c>
      <c r="C19" s="240">
        <f>1170+2002-112-88+1466+8890+1263+24242+3710+24701+3366+11516+17216+41526+5596+17972+25613+38043+5416+10375+15744+57410+7776+21885+28480+225+332+8890+1263+2557+3828+6922+840+2356+3601+8890+1263+2230+3344+6468+700+2471+3747+1603+243+434+690</f>
        <v>438075</v>
      </c>
    </row>
    <row r="20" spans="1:3" x14ac:dyDescent="0.2">
      <c r="A20" t="s">
        <v>780</v>
      </c>
      <c r="B20" s="240">
        <f>720+10145+264092+18312+164841+7024+77501+1511+187945+3795+3273</f>
        <v>739159</v>
      </c>
      <c r="C20" s="240">
        <f>45+776+112+88+41976+19369+26779+12170+1764+18428+5816+3333+46350+723+13503+8725+254+62</f>
        <v>200273</v>
      </c>
    </row>
    <row r="21" spans="1:3" x14ac:dyDescent="0.2">
      <c r="A21" t="s">
        <v>781</v>
      </c>
      <c r="B21" s="240">
        <f>755+753+3060+1145</f>
        <v>5713</v>
      </c>
      <c r="C21" s="240">
        <f>57+58+234+88</f>
        <v>437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1800668</v>
      </c>
      <c r="C22" s="231">
        <f>SUM(C19:C21)</f>
        <v>638785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200118</v>
      </c>
      <c r="C36" s="235">
        <f>'DOE25'!G199+'DOE25'!G217+'DOE25'!G235+'DOE25'!G278+'DOE25'!G297+'DOE25'!G316</f>
        <v>42167</v>
      </c>
    </row>
    <row r="37" spans="1:3" x14ac:dyDescent="0.2">
      <c r="A37" t="s">
        <v>779</v>
      </c>
      <c r="B37" s="240">
        <v>200118</v>
      </c>
      <c r="C37" s="240">
        <v>42167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200118</v>
      </c>
      <c r="C40" s="231">
        <f>SUM(C37:C39)</f>
        <v>42167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HOPKINTON SCHOOL DISTRICT - SAU66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9533696</v>
      </c>
      <c r="D5" s="20">
        <f>SUM('DOE25'!L196:L199)+SUM('DOE25'!L214:L217)+SUM('DOE25'!L232:L235)-F5-G5</f>
        <v>9488572</v>
      </c>
      <c r="E5" s="243"/>
      <c r="F5" s="255">
        <f>SUM('DOE25'!J196:J199)+SUM('DOE25'!J214:J217)+SUM('DOE25'!J232:J235)</f>
        <v>36973</v>
      </c>
      <c r="G5" s="53">
        <f>SUM('DOE25'!K196:K199)+SUM('DOE25'!K214:K217)+SUM('DOE25'!K232:K235)</f>
        <v>8151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1192587</v>
      </c>
      <c r="D6" s="20">
        <f>'DOE25'!L201+'DOE25'!L219+'DOE25'!L237-F6-G6</f>
        <v>1190194</v>
      </c>
      <c r="E6" s="243"/>
      <c r="F6" s="255">
        <f>'DOE25'!J201+'DOE25'!J219+'DOE25'!J237</f>
        <v>2393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833953</v>
      </c>
      <c r="D7" s="20">
        <f>'DOE25'!L202+'DOE25'!L220+'DOE25'!L238-F7-G7</f>
        <v>716268</v>
      </c>
      <c r="E7" s="243"/>
      <c r="F7" s="255">
        <f>'DOE25'!J202+'DOE25'!J220+'DOE25'!J238</f>
        <v>98326</v>
      </c>
      <c r="G7" s="53">
        <f>'DOE25'!K202+'DOE25'!K220+'DOE25'!K238</f>
        <v>19359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265335.38</v>
      </c>
      <c r="D8" s="243"/>
      <c r="E8" s="20">
        <f>'DOE25'!L203+'DOE25'!L221+'DOE25'!L239-F8-G8-D9-D11</f>
        <v>248728.38</v>
      </c>
      <c r="F8" s="255">
        <f>'DOE25'!J203+'DOE25'!J221+'DOE25'!J239</f>
        <v>0</v>
      </c>
      <c r="G8" s="53">
        <f>'DOE25'!K203+'DOE25'!K221+'DOE25'!K239</f>
        <v>16607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21814.620000000003</v>
      </c>
      <c r="D9" s="244">
        <f>39379.62-11388-6177</f>
        <v>21814.620000000003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11388</v>
      </c>
      <c r="D10" s="243"/>
      <c r="E10" s="244">
        <v>11388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234531</v>
      </c>
      <c r="D11" s="244">
        <f>114800+47566+36884+5051+329+374+12415+14248+2000+224+544+96</f>
        <v>234531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796069</v>
      </c>
      <c r="D12" s="20">
        <f>'DOE25'!L204+'DOE25'!L222+'DOE25'!L240-F12-G12</f>
        <v>788626</v>
      </c>
      <c r="E12" s="243"/>
      <c r="F12" s="255">
        <f>'DOE25'!J204+'DOE25'!J222+'DOE25'!J240</f>
        <v>0</v>
      </c>
      <c r="G12" s="53">
        <f>'DOE25'!K204+'DOE25'!K222+'DOE25'!K240</f>
        <v>7443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239153</v>
      </c>
      <c r="D13" s="243"/>
      <c r="E13" s="20">
        <f>'DOE25'!L205+'DOE25'!L223+'DOE25'!L241-F13-G13</f>
        <v>239153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1151501</v>
      </c>
      <c r="D14" s="20">
        <f>'DOE25'!L206+'DOE25'!L224+'DOE25'!L242-F14-G14</f>
        <v>1142487</v>
      </c>
      <c r="E14" s="243"/>
      <c r="F14" s="255">
        <f>'DOE25'!J206+'DOE25'!J224+'DOE25'!J242</f>
        <v>9014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634807</v>
      </c>
      <c r="D15" s="20">
        <f>'DOE25'!L207+'DOE25'!L225+'DOE25'!L243-F15-G15</f>
        <v>634546</v>
      </c>
      <c r="E15" s="243"/>
      <c r="F15" s="255">
        <f>'DOE25'!J207+'DOE25'!J225+'DOE25'!J243</f>
        <v>0</v>
      </c>
      <c r="G15" s="53">
        <f>'DOE25'!K207+'DOE25'!K225+'DOE25'!K243</f>
        <v>261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3700</v>
      </c>
      <c r="D22" s="243"/>
      <c r="E22" s="243"/>
      <c r="F22" s="255">
        <f>'DOE25'!L254+'DOE25'!L335</f>
        <v>3700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544413</v>
      </c>
      <c r="D25" s="243"/>
      <c r="E25" s="243"/>
      <c r="F25" s="258"/>
      <c r="G25" s="256"/>
      <c r="H25" s="257">
        <f>'DOE25'!L259+'DOE25'!L260+'DOE25'!L340+'DOE25'!L341</f>
        <v>544413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255273</v>
      </c>
      <c r="D29" s="20">
        <f>'DOE25'!L357+'DOE25'!L358+'DOE25'!L359-'DOE25'!I366-F29-G29</f>
        <v>254545</v>
      </c>
      <c r="E29" s="243"/>
      <c r="F29" s="255">
        <f>'DOE25'!J357+'DOE25'!J358+'DOE25'!J359</f>
        <v>0</v>
      </c>
      <c r="G29" s="53">
        <f>'DOE25'!K357+'DOE25'!K358+'DOE25'!K359</f>
        <v>728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339744</v>
      </c>
      <c r="D31" s="20">
        <f>'DOE25'!L289+'DOE25'!L308+'DOE25'!L327+'DOE25'!L332+'DOE25'!L333+'DOE25'!L334-F31-G31</f>
        <v>305861</v>
      </c>
      <c r="E31" s="243"/>
      <c r="F31" s="255">
        <f>'DOE25'!J289+'DOE25'!J308+'DOE25'!J327+'DOE25'!J332+'DOE25'!J333+'DOE25'!J334</f>
        <v>12361</v>
      </c>
      <c r="G31" s="53">
        <f>'DOE25'!K289+'DOE25'!K308+'DOE25'!K327+'DOE25'!K332+'DOE25'!K333+'DOE25'!K334</f>
        <v>21522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14777444.619999999</v>
      </c>
      <c r="E33" s="246">
        <f>SUM(E5:E31)</f>
        <v>499269.38</v>
      </c>
      <c r="F33" s="246">
        <f>SUM(F5:F31)</f>
        <v>162767</v>
      </c>
      <c r="G33" s="246">
        <f>SUM(G5:G31)</f>
        <v>74071</v>
      </c>
      <c r="H33" s="246">
        <f>SUM(H5:H31)</f>
        <v>544413</v>
      </c>
    </row>
    <row r="35" spans="2:8" ht="12" thickBot="1" x14ac:dyDescent="0.25">
      <c r="B35" s="253" t="s">
        <v>847</v>
      </c>
      <c r="D35" s="254">
        <f>E33</f>
        <v>499269.38</v>
      </c>
      <c r="E35" s="249"/>
    </row>
    <row r="36" spans="2:8" ht="12" thickTop="1" x14ac:dyDescent="0.2">
      <c r="B36" t="s">
        <v>815</v>
      </c>
      <c r="D36" s="20">
        <f>D33</f>
        <v>14777444.619999999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50" zoomScaleNormal="150" zoomScalePageLayoutView="150" workbookViewId="0">
      <pane ySplit="2" topLeftCell="A113" activePane="bottomLeft" state="frozen"/>
      <selection pane="bottomLeft" activeCell="C139" sqref="C139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 - SAU66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578474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471476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48703</v>
      </c>
      <c r="D11" s="95">
        <f>'DOE25'!G12</f>
        <v>0</v>
      </c>
      <c r="E11" s="95">
        <f>'DOE25'!H12</f>
        <v>34958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21748</v>
      </c>
      <c r="D12" s="95">
        <f>'DOE25'!G13</f>
        <v>27109</v>
      </c>
      <c r="E12" s="95">
        <f>'DOE25'!H13</f>
        <v>64797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15209</v>
      </c>
      <c r="D13" s="95">
        <f>'DOE25'!G14</f>
        <v>801</v>
      </c>
      <c r="E13" s="95">
        <f>'DOE25'!H14</f>
        <v>2874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36475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700609</v>
      </c>
      <c r="D18" s="41">
        <f>SUM(D8:D17)</f>
        <v>28010</v>
      </c>
      <c r="E18" s="41">
        <f>SUM(E8:E17)</f>
        <v>102629</v>
      </c>
      <c r="F18" s="41">
        <f>SUM(F8:F17)</f>
        <v>0</v>
      </c>
      <c r="G18" s="41">
        <f>SUM(G8:G17)</f>
        <v>471476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20224</v>
      </c>
      <c r="E21" s="95">
        <f>'DOE25'!H22</f>
        <v>63437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68672</v>
      </c>
      <c r="D23" s="95">
        <f>'DOE25'!G24</f>
        <v>417</v>
      </c>
      <c r="E23" s="95">
        <f>'DOE25'!H24</f>
        <v>2329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22791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7369</v>
      </c>
      <c r="E29" s="95">
        <f>'DOE25'!H30</f>
        <v>36863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3700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95163</v>
      </c>
      <c r="D31" s="41">
        <f>SUM(D21:D30)</f>
        <v>28010</v>
      </c>
      <c r="E31" s="41">
        <f>SUM(E21:E30)</f>
        <v>102629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36475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150000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471476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20062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328909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605446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471476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700609</v>
      </c>
      <c r="D50" s="41">
        <f>D49+D31</f>
        <v>28010</v>
      </c>
      <c r="E50" s="41">
        <f>E49+E31</f>
        <v>102629</v>
      </c>
      <c r="F50" s="41">
        <f>F49+F31</f>
        <v>0</v>
      </c>
      <c r="G50" s="41">
        <f>G49+G31</f>
        <v>471476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11637336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101035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432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537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201102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57869</v>
      </c>
      <c r="D60" s="95">
        <f>SUM('DOE25'!G97:G109)</f>
        <v>0</v>
      </c>
      <c r="E60" s="95">
        <f>SUM('DOE25'!H97:H109)</f>
        <v>59402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159336</v>
      </c>
      <c r="D61" s="130">
        <f>SUM(D56:D60)</f>
        <v>201102</v>
      </c>
      <c r="E61" s="130">
        <f>SUM(E56:E60)</f>
        <v>59402</v>
      </c>
      <c r="F61" s="130">
        <f>SUM(F56:F60)</f>
        <v>0</v>
      </c>
      <c r="G61" s="130">
        <f>SUM(G56:G60)</f>
        <v>537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11796672</v>
      </c>
      <c r="D62" s="22">
        <f>D55+D61</f>
        <v>201102</v>
      </c>
      <c r="E62" s="22">
        <f>E55+E61</f>
        <v>59402</v>
      </c>
      <c r="F62" s="22">
        <f>F55+F61</f>
        <v>0</v>
      </c>
      <c r="G62" s="22">
        <f>G55+G61</f>
        <v>537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2087695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1590949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3678644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147126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2431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3060</v>
      </c>
      <c r="E76" s="95">
        <f>SUM('DOE25'!H130:H134)</f>
        <v>1555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149557</v>
      </c>
      <c r="D77" s="130">
        <f>SUM(D71:D76)</f>
        <v>3060</v>
      </c>
      <c r="E77" s="130">
        <f>SUM(E71:E76)</f>
        <v>1555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3828201</v>
      </c>
      <c r="D80" s="130">
        <f>SUM(D78:D79)+D77+D69</f>
        <v>3060</v>
      </c>
      <c r="E80" s="130">
        <f>SUM(E78:E79)+E77+E69</f>
        <v>1555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28934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141106</v>
      </c>
      <c r="D87" s="95">
        <f>SUM('DOE25'!G152:G160)</f>
        <v>65015</v>
      </c>
      <c r="E87" s="95">
        <f>SUM('DOE25'!H152:H160)</f>
        <v>279007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170040</v>
      </c>
      <c r="D90" s="131">
        <f>SUM(D84:D89)</f>
        <v>65015</v>
      </c>
      <c r="E90" s="131">
        <f>SUM(E84:E89)</f>
        <v>279007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92865</v>
      </c>
      <c r="E95" s="95">
        <f>'DOE25'!H178</f>
        <v>3480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92865</v>
      </c>
      <c r="E102" s="86">
        <f>SUM(E92:E101)</f>
        <v>3480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15794913</v>
      </c>
      <c r="D103" s="86">
        <f>D62+D80+D90+D102</f>
        <v>362042</v>
      </c>
      <c r="E103" s="86">
        <f>E62+E80+E90+E102</f>
        <v>343444</v>
      </c>
      <c r="F103" s="86">
        <f>F62+F80+F90+F102</f>
        <v>0</v>
      </c>
      <c r="G103" s="86">
        <f>G62+G80+G102</f>
        <v>50537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6732040</v>
      </c>
      <c r="D108" s="24" t="s">
        <v>289</v>
      </c>
      <c r="E108" s="95">
        <f>('DOE25'!L275)+('DOE25'!L294)+('DOE25'!L313)</f>
        <v>89861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2448566</v>
      </c>
      <c r="D109" s="24" t="s">
        <v>289</v>
      </c>
      <c r="E109" s="95">
        <f>('DOE25'!L276)+('DOE25'!L295)+('DOE25'!L314)</f>
        <v>201010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28469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324621</v>
      </c>
      <c r="D111" s="24" t="s">
        <v>289</v>
      </c>
      <c r="E111" s="95">
        <f>+('DOE25'!L278)+('DOE25'!L297)+('DOE25'!L316)</f>
        <v>9496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4697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9533696</v>
      </c>
      <c r="D114" s="86">
        <f>SUM(D108:D113)</f>
        <v>0</v>
      </c>
      <c r="E114" s="86">
        <f>SUM(E108:E113)</f>
        <v>305064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1192587</v>
      </c>
      <c r="D117" s="24" t="s">
        <v>289</v>
      </c>
      <c r="E117" s="95">
        <f>+('DOE25'!L280)+('DOE25'!L299)+('DOE25'!L318)</f>
        <v>2483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833953</v>
      </c>
      <c r="D118" s="24" t="s">
        <v>289</v>
      </c>
      <c r="E118" s="95">
        <f>+('DOE25'!L281)+('DOE25'!L300)+('DOE25'!L319)</f>
        <v>30870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521681</v>
      </c>
      <c r="D119" s="24" t="s">
        <v>289</v>
      </c>
      <c r="E119" s="95">
        <f>+('DOE25'!L282)+('DOE25'!L301)+('DOE25'!L320)</f>
        <v>249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796069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239153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1151501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634807</v>
      </c>
      <c r="D123" s="24" t="s">
        <v>289</v>
      </c>
      <c r="E123" s="95">
        <f>+('DOE25'!L286)+('DOE25'!L305)+('DOE25'!L324)</f>
        <v>1078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362042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5369751</v>
      </c>
      <c r="D127" s="86">
        <f>SUM(D117:D126)</f>
        <v>362042</v>
      </c>
      <c r="E127" s="86">
        <f>SUM(E117:E126)</f>
        <v>34680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3700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430000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114413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92865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3480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35171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15366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690758</v>
      </c>
      <c r="D143" s="141">
        <f>SUM(D129:D142)</f>
        <v>0</v>
      </c>
      <c r="E143" s="141">
        <f>SUM(E129:E142)</f>
        <v>3700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15594205</v>
      </c>
      <c r="D144" s="86">
        <f>(D114+D127+D143)</f>
        <v>362042</v>
      </c>
      <c r="E144" s="86">
        <f>(E114+E127+E143)</f>
        <v>343444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5/07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4745000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3.5 - 5.0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2885000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430000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430000</v>
      </c>
    </row>
    <row r="158" spans="1:9" x14ac:dyDescent="0.2">
      <c r="A158" s="22" t="s">
        <v>35</v>
      </c>
      <c r="B158" s="137">
        <f>'DOE25'!F497</f>
        <v>2455000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2455000</v>
      </c>
    </row>
    <row r="159" spans="1:9" x14ac:dyDescent="0.2">
      <c r="A159" s="22" t="s">
        <v>36</v>
      </c>
      <c r="B159" s="137">
        <f>'DOE25'!F498</f>
        <v>285550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285550</v>
      </c>
    </row>
    <row r="160" spans="1:9" x14ac:dyDescent="0.2">
      <c r="A160" s="22" t="s">
        <v>37</v>
      </c>
      <c r="B160" s="137">
        <f>'DOE25'!F499</f>
        <v>2740550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2740550</v>
      </c>
    </row>
    <row r="161" spans="1:7" x14ac:dyDescent="0.2">
      <c r="A161" s="22" t="s">
        <v>38</v>
      </c>
      <c r="B161" s="137">
        <f>'DOE25'!F500</f>
        <v>450000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450000</v>
      </c>
    </row>
    <row r="162" spans="1:7" x14ac:dyDescent="0.2">
      <c r="A162" s="22" t="s">
        <v>39</v>
      </c>
      <c r="B162" s="137">
        <f>'DOE25'!F501</f>
        <v>97100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97100</v>
      </c>
    </row>
    <row r="163" spans="1:7" x14ac:dyDescent="0.2">
      <c r="A163" s="22" t="s">
        <v>246</v>
      </c>
      <c r="B163" s="137">
        <f>'DOE25'!F502</f>
        <v>547100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547100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70" orientation="landscape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HOPKINTON SCHOOL DISTRICT - SAU66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15568</v>
      </c>
    </row>
    <row r="5" spans="1:4" x14ac:dyDescent="0.2">
      <c r="B5" t="s">
        <v>704</v>
      </c>
      <c r="C5" s="179">
        <f>IF('DOE25'!G664+'DOE25'!G669=0,0,ROUND('DOE25'!G671,0))</f>
        <v>17235</v>
      </c>
    </row>
    <row r="6" spans="1:4" x14ac:dyDescent="0.2">
      <c r="B6" t="s">
        <v>62</v>
      </c>
      <c r="C6" s="179">
        <f>IF('DOE25'!H664+'DOE25'!H669=0,0,ROUND('DOE25'!H671,0))</f>
        <v>16231</v>
      </c>
    </row>
    <row r="7" spans="1:4" x14ac:dyDescent="0.2">
      <c r="B7" t="s">
        <v>705</v>
      </c>
      <c r="C7" s="179">
        <f>IF('DOE25'!I664+'DOE25'!I669=0,0,ROUND('DOE25'!I671,0))</f>
        <v>16042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6821901</v>
      </c>
      <c r="D10" s="182">
        <f>ROUND((C10/$C$28)*100,1)</f>
        <v>44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2649576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28469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334117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1195070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864823</v>
      </c>
      <c r="D16" s="182">
        <f t="shared" si="0"/>
        <v>5.6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521930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796069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239153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1151501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635885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4697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114413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160940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15518544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3700</v>
      </c>
    </row>
    <row r="30" spans="1:4" x14ac:dyDescent="0.2">
      <c r="B30" s="187" t="s">
        <v>729</v>
      </c>
      <c r="C30" s="180">
        <f>SUM(C28:C29)</f>
        <v>15522244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430000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11637336</v>
      </c>
      <c r="D35" s="182">
        <f t="shared" ref="D35:D40" si="1">ROUND((C35/$C$41)*100,1)</f>
        <v>71.8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219275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3678644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154172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514062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16203489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HOPKINTON SCHOOL DISTRICT - SAU66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2013-08-15T13:16:12Z</cp:lastPrinted>
  <dcterms:created xsi:type="dcterms:W3CDTF">1997-12-04T19:04:30Z</dcterms:created>
  <dcterms:modified xsi:type="dcterms:W3CDTF">2013-12-05T18:45:46Z</dcterms:modified>
</cp:coreProperties>
</file>