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6" i="1" l="1"/>
  <c r="B21" i="12" l="1"/>
  <c r="F276" i="1"/>
  <c r="B19" i="12"/>
  <c r="B37" i="12"/>
  <c r="B29" i="12"/>
  <c r="B28" i="12"/>
  <c r="B30" i="12"/>
  <c r="B20" i="12"/>
  <c r="B12" i="12"/>
  <c r="B10" i="12"/>
  <c r="B11" i="12"/>
  <c r="I603" i="1" l="1"/>
  <c r="H603" i="1"/>
  <c r="J603" i="1"/>
  <c r="H235" i="1" l="1"/>
  <c r="H234" i="1"/>
  <c r="H243" i="1"/>
  <c r="H217" i="1"/>
  <c r="H225" i="1"/>
  <c r="H207" i="1"/>
  <c r="J592" i="1"/>
  <c r="H594" i="1"/>
  <c r="H388" i="1" l="1"/>
  <c r="G464" i="1"/>
  <c r="G471" i="1"/>
  <c r="H13" i="1"/>
  <c r="F315" i="1"/>
  <c r="K315" i="1"/>
  <c r="J315" i="1"/>
  <c r="I315" i="1"/>
  <c r="H315" i="1"/>
  <c r="G315" i="1"/>
  <c r="H332" i="1"/>
  <c r="K319" i="1"/>
  <c r="K318" i="1"/>
  <c r="J318" i="1"/>
  <c r="I318" i="1"/>
  <c r="H318" i="1"/>
  <c r="G318" i="1"/>
  <c r="F318" i="1"/>
  <c r="K314" i="1"/>
  <c r="J314" i="1"/>
  <c r="I314" i="1"/>
  <c r="K313" i="1"/>
  <c r="J313" i="1"/>
  <c r="I313" i="1"/>
  <c r="H313" i="1"/>
  <c r="G313" i="1"/>
  <c r="K300" i="1"/>
  <c r="J300" i="1"/>
  <c r="K299" i="1"/>
  <c r="J299" i="1"/>
  <c r="I299" i="1"/>
  <c r="H299" i="1"/>
  <c r="G299" i="1"/>
  <c r="F299" i="1"/>
  <c r="K295" i="1"/>
  <c r="J295" i="1"/>
  <c r="I295" i="1"/>
  <c r="K294" i="1"/>
  <c r="J294" i="1"/>
  <c r="I294" i="1"/>
  <c r="H294" i="1"/>
  <c r="G294" i="1"/>
  <c r="F294" i="1"/>
  <c r="K280" i="1"/>
  <c r="J280" i="1"/>
  <c r="I280" i="1"/>
  <c r="H280" i="1"/>
  <c r="G280" i="1"/>
  <c r="F280" i="1"/>
  <c r="K276" i="1"/>
  <c r="J276" i="1"/>
  <c r="I276" i="1"/>
  <c r="K275" i="1"/>
  <c r="J275" i="1"/>
  <c r="I275" i="1"/>
  <c r="H275" i="1"/>
  <c r="G275" i="1"/>
  <c r="F275" i="1"/>
  <c r="H95" i="1"/>
  <c r="J431" i="1"/>
  <c r="J471" i="1"/>
  <c r="J467" i="1"/>
  <c r="G438" i="1"/>
  <c r="H47" i="1"/>
  <c r="H9" i="1"/>
  <c r="H471" i="1"/>
  <c r="H467" i="1"/>
  <c r="H30" i="1"/>
  <c r="H22" i="1"/>
  <c r="H103" i="1"/>
  <c r="H24" i="1"/>
  <c r="H367" i="1"/>
  <c r="G367" i="1"/>
  <c r="F367" i="1"/>
  <c r="H366" i="1"/>
  <c r="G366" i="1"/>
  <c r="F366" i="1"/>
  <c r="H359" i="1"/>
  <c r="G359" i="1"/>
  <c r="I359" i="1"/>
  <c r="F359" i="1"/>
  <c r="J359" i="1"/>
  <c r="K359" i="1"/>
  <c r="K358" i="1"/>
  <c r="J358" i="1"/>
  <c r="I358" i="1"/>
  <c r="H358" i="1"/>
  <c r="G358" i="1"/>
  <c r="F358" i="1"/>
  <c r="K357" i="1"/>
  <c r="J357" i="1"/>
  <c r="I357" i="1"/>
  <c r="H357" i="1"/>
  <c r="G357" i="1"/>
  <c r="F357" i="1"/>
  <c r="G157" i="1"/>
  <c r="J233" i="1"/>
  <c r="I233" i="1"/>
  <c r="K221" i="1"/>
  <c r="K203" i="1"/>
  <c r="G196" i="1"/>
  <c r="K260" i="1"/>
  <c r="H242" i="1"/>
  <c r="I242" i="1"/>
  <c r="G242" i="1"/>
  <c r="F242" i="1"/>
  <c r="H240" i="1"/>
  <c r="J238" i="1"/>
  <c r="I238" i="1"/>
  <c r="H238" i="1"/>
  <c r="G238" i="1"/>
  <c r="F238" i="1"/>
  <c r="K237" i="1"/>
  <c r="J237" i="1"/>
  <c r="I237" i="1"/>
  <c r="H237" i="1"/>
  <c r="G237" i="1"/>
  <c r="F237" i="1"/>
  <c r="H233" i="1"/>
  <c r="G233" i="1"/>
  <c r="F233" i="1"/>
  <c r="H232" i="1"/>
  <c r="G232" i="1"/>
  <c r="F232" i="1"/>
  <c r="K240" i="1"/>
  <c r="J240" i="1"/>
  <c r="I240" i="1"/>
  <c r="G240" i="1"/>
  <c r="F240" i="1"/>
  <c r="K238" i="1"/>
  <c r="K235" i="1"/>
  <c r="J235" i="1"/>
  <c r="I235" i="1"/>
  <c r="G235" i="1"/>
  <c r="F235" i="1"/>
  <c r="K232" i="1"/>
  <c r="J232" i="1"/>
  <c r="I232" i="1"/>
  <c r="I224" i="1"/>
  <c r="H224" i="1"/>
  <c r="G224" i="1"/>
  <c r="F224" i="1"/>
  <c r="H222" i="1"/>
  <c r="J220" i="1"/>
  <c r="I220" i="1"/>
  <c r="H220" i="1"/>
  <c r="G220" i="1"/>
  <c r="F220" i="1"/>
  <c r="J219" i="1"/>
  <c r="I219" i="1"/>
  <c r="H219" i="1"/>
  <c r="G219" i="1"/>
  <c r="F219" i="1"/>
  <c r="J215" i="1"/>
  <c r="I215" i="1"/>
  <c r="H215" i="1"/>
  <c r="G215" i="1"/>
  <c r="F215" i="1"/>
  <c r="H214" i="1"/>
  <c r="G214" i="1"/>
  <c r="F214" i="1"/>
  <c r="K222" i="1"/>
  <c r="J222" i="1"/>
  <c r="I222" i="1"/>
  <c r="G222" i="1"/>
  <c r="F222" i="1"/>
  <c r="K220" i="1"/>
  <c r="G217" i="1"/>
  <c r="F217" i="1"/>
  <c r="K214" i="1"/>
  <c r="J214" i="1"/>
  <c r="I214" i="1"/>
  <c r="I206" i="1"/>
  <c r="H206" i="1"/>
  <c r="G206" i="1"/>
  <c r="F206" i="1"/>
  <c r="H204" i="1"/>
  <c r="J202" i="1"/>
  <c r="I202" i="1"/>
  <c r="H202" i="1"/>
  <c r="G202" i="1"/>
  <c r="F202" i="1"/>
  <c r="I201" i="1"/>
  <c r="H201" i="1"/>
  <c r="G201" i="1"/>
  <c r="F201" i="1"/>
  <c r="J197" i="1"/>
  <c r="I197" i="1"/>
  <c r="H197" i="1"/>
  <c r="G197" i="1"/>
  <c r="F197" i="1"/>
  <c r="H196" i="1"/>
  <c r="F196" i="1"/>
  <c r="F69" i="1" l="1"/>
  <c r="F109" i="1"/>
  <c r="F12" i="1" l="1"/>
  <c r="F9" i="1"/>
  <c r="C37" i="10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10" i="2" s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G649" i="1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B27" i="12"/>
  <c r="C27" i="12"/>
  <c r="B31" i="12"/>
  <c r="B9" i="12"/>
  <c r="B13" i="12"/>
  <c r="C9" i="12"/>
  <c r="B18" i="12"/>
  <c r="B22" i="12"/>
  <c r="C18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L249" i="1"/>
  <c r="L331" i="1"/>
  <c r="L253" i="1"/>
  <c r="C25" i="10"/>
  <c r="L267" i="1"/>
  <c r="L268" i="1"/>
  <c r="L348" i="1"/>
  <c r="L349" i="1"/>
  <c r="I664" i="1"/>
  <c r="I669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E110" i="2"/>
  <c r="C111" i="2"/>
  <c r="E111" i="2"/>
  <c r="C112" i="2"/>
  <c r="E112" i="2"/>
  <c r="C113" i="2"/>
  <c r="E113" i="2"/>
  <c r="D114" i="2"/>
  <c r="F114" i="2"/>
  <c r="G114" i="2"/>
  <c r="E117" i="2"/>
  <c r="C118" i="2"/>
  <c r="E118" i="2"/>
  <c r="C119" i="2"/>
  <c r="E119" i="2"/>
  <c r="C120" i="2"/>
  <c r="E120" i="2"/>
  <c r="C121" i="2"/>
  <c r="E121" i="2"/>
  <c r="C122" i="2"/>
  <c r="E122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H640" i="1" s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G641" i="1"/>
  <c r="H641" i="1"/>
  <c r="G642" i="1"/>
  <c r="H642" i="1"/>
  <c r="G643" i="1"/>
  <c r="H643" i="1"/>
  <c r="G644" i="1"/>
  <c r="H644" i="1"/>
  <c r="H646" i="1"/>
  <c r="G650" i="1"/>
  <c r="J650" i="1" s="1"/>
  <c r="G651" i="1"/>
  <c r="H651" i="1"/>
  <c r="G652" i="1"/>
  <c r="H652" i="1"/>
  <c r="G653" i="1"/>
  <c r="H653" i="1"/>
  <c r="H654" i="1"/>
  <c r="F191" i="1"/>
  <c r="L255" i="1"/>
  <c r="K256" i="1"/>
  <c r="K270" i="1" s="1"/>
  <c r="G163" i="2"/>
  <c r="G159" i="2"/>
  <c r="F31" i="2"/>
  <c r="C26" i="10"/>
  <c r="L350" i="1"/>
  <c r="L289" i="1"/>
  <c r="C69" i="2"/>
  <c r="D12" i="13"/>
  <c r="C12" i="13" s="1"/>
  <c r="G161" i="2"/>
  <c r="D61" i="2"/>
  <c r="D62" i="2" s="1"/>
  <c r="E49" i="2"/>
  <c r="D18" i="13"/>
  <c r="C18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19" i="13"/>
  <c r="C19" i="13" s="1"/>
  <c r="D14" i="13"/>
  <c r="C14" i="13" s="1"/>
  <c r="E13" i="13"/>
  <c r="C13" i="13" s="1"/>
  <c r="J616" i="1"/>
  <c r="E77" i="2"/>
  <c r="E80" i="2" s="1"/>
  <c r="L426" i="1"/>
  <c r="H111" i="1"/>
  <c r="F111" i="1"/>
  <c r="J638" i="1"/>
  <c r="K604" i="1"/>
  <c r="G647" i="1" s="1"/>
  <c r="J570" i="1"/>
  <c r="K570" i="1"/>
  <c r="L432" i="1"/>
  <c r="L418" i="1"/>
  <c r="D80" i="2"/>
  <c r="I168" i="1"/>
  <c r="H168" i="1"/>
  <c r="G551" i="1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I551" i="1"/>
  <c r="K548" i="1"/>
  <c r="K549" i="1"/>
  <c r="G22" i="2"/>
  <c r="K597" i="1"/>
  <c r="G646" i="1" s="1"/>
  <c r="K544" i="1"/>
  <c r="J551" i="1"/>
  <c r="H551" i="1"/>
  <c r="C29" i="10"/>
  <c r="H139" i="1"/>
  <c r="L400" i="1"/>
  <c r="C138" i="2" s="1"/>
  <c r="L392" i="1"/>
  <c r="F22" i="13"/>
  <c r="C22" i="13" s="1"/>
  <c r="H25" i="13"/>
  <c r="C25" i="13" s="1"/>
  <c r="J639" i="1"/>
  <c r="H570" i="1"/>
  <c r="L559" i="1"/>
  <c r="J544" i="1"/>
  <c r="F337" i="1"/>
  <c r="F351" i="1" s="1"/>
  <c r="G191" i="1"/>
  <c r="H191" i="1"/>
  <c r="E127" i="2"/>
  <c r="F551" i="1"/>
  <c r="C35" i="10"/>
  <c r="L308" i="1"/>
  <c r="D5" i="13"/>
  <c r="C5" i="13" s="1"/>
  <c r="E16" i="13"/>
  <c r="C49" i="2"/>
  <c r="C50" i="2" s="1"/>
  <c r="J654" i="1"/>
  <c r="J644" i="1"/>
  <c r="L569" i="1"/>
  <c r="I570" i="1"/>
  <c r="I544" i="1"/>
  <c r="J635" i="1"/>
  <c r="G36" i="2"/>
  <c r="L564" i="1"/>
  <c r="G544" i="1"/>
  <c r="H544" i="1"/>
  <c r="C137" i="2"/>
  <c r="C16" i="13"/>
  <c r="H256" i="1" l="1"/>
  <c r="H270" i="1" s="1"/>
  <c r="L269" i="1"/>
  <c r="H661" i="1"/>
  <c r="J633" i="1"/>
  <c r="C23" i="10"/>
  <c r="C17" i="10"/>
  <c r="C20" i="12"/>
  <c r="C19" i="12"/>
  <c r="C22" i="12" s="1"/>
  <c r="C21" i="12"/>
  <c r="C12" i="12"/>
  <c r="C10" i="12"/>
  <c r="C11" i="12"/>
  <c r="C29" i="12"/>
  <c r="C30" i="12"/>
  <c r="C28" i="12"/>
  <c r="E114" i="2"/>
  <c r="C37" i="12"/>
  <c r="C40" i="12" s="1"/>
  <c r="A40" i="12" s="1"/>
  <c r="D29" i="13"/>
  <c r="C29" i="13" s="1"/>
  <c r="L327" i="1"/>
  <c r="E144" i="2"/>
  <c r="L336" i="1"/>
  <c r="H337" i="1"/>
  <c r="H351" i="1" s="1"/>
  <c r="K550" i="1"/>
  <c r="L544" i="1"/>
  <c r="K551" i="1"/>
  <c r="H33" i="13"/>
  <c r="J640" i="1"/>
  <c r="E50" i="2"/>
  <c r="F660" i="1"/>
  <c r="L361" i="1"/>
  <c r="G634" i="1" s="1"/>
  <c r="J634" i="1" s="1"/>
  <c r="G660" i="1"/>
  <c r="H660" i="1"/>
  <c r="C20" i="10"/>
  <c r="C16" i="10"/>
  <c r="C15" i="10"/>
  <c r="C114" i="2"/>
  <c r="L246" i="1"/>
  <c r="H659" i="1" s="1"/>
  <c r="J646" i="1"/>
  <c r="C21" i="10"/>
  <c r="C19" i="10"/>
  <c r="C18" i="10"/>
  <c r="L228" i="1"/>
  <c r="G659" i="1" s="1"/>
  <c r="C117" i="2"/>
  <c r="J256" i="1"/>
  <c r="J270" i="1" s="1"/>
  <c r="I256" i="1"/>
  <c r="I270" i="1" s="1"/>
  <c r="G256" i="1"/>
  <c r="G270" i="1" s="1"/>
  <c r="C10" i="10"/>
  <c r="E33" i="13"/>
  <c r="D35" i="13" s="1"/>
  <c r="D15" i="13"/>
  <c r="C15" i="13" s="1"/>
  <c r="G648" i="1"/>
  <c r="J648" i="1" s="1"/>
  <c r="C123" i="2"/>
  <c r="C127" i="2" s="1"/>
  <c r="F661" i="1"/>
  <c r="I661" i="1" s="1"/>
  <c r="L210" i="1"/>
  <c r="F659" i="1" s="1"/>
  <c r="C18" i="2"/>
  <c r="L337" i="1"/>
  <c r="L351" i="1" s="1"/>
  <c r="G632" i="1" s="1"/>
  <c r="J632" i="1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G18" i="2" s="1"/>
  <c r="J19" i="1"/>
  <c r="G620" i="1" s="1"/>
  <c r="D31" i="13"/>
  <c r="C31" i="13" s="1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C103" i="2"/>
  <c r="J651" i="1"/>
  <c r="J641" i="1"/>
  <c r="G570" i="1"/>
  <c r="I433" i="1"/>
  <c r="G433" i="1"/>
  <c r="I662" i="1"/>
  <c r="C27" i="10"/>
  <c r="C31" i="12" l="1"/>
  <c r="A31" i="12" s="1"/>
  <c r="C13" i="12"/>
  <c r="A13" i="12" s="1"/>
  <c r="G663" i="1"/>
  <c r="G666" i="1" s="1"/>
  <c r="I660" i="1"/>
  <c r="H663" i="1"/>
  <c r="H671" i="1" s="1"/>
  <c r="C6" i="10" s="1"/>
  <c r="C144" i="2"/>
  <c r="H647" i="1"/>
  <c r="J647" i="1" s="1"/>
  <c r="C28" i="10"/>
  <c r="D23" i="10" s="1"/>
  <c r="F663" i="1"/>
  <c r="I659" i="1"/>
  <c r="L256" i="1"/>
  <c r="L270" i="1" s="1"/>
  <c r="G631" i="1" s="1"/>
  <c r="J631" i="1" s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G671" i="1" l="1"/>
  <c r="C5" i="10" s="1"/>
  <c r="I663" i="1"/>
  <c r="I671" i="1" s="1"/>
  <c r="C7" i="10" s="1"/>
  <c r="H666" i="1"/>
  <c r="D20" i="10"/>
  <c r="D25" i="10"/>
  <c r="D15" i="10"/>
  <c r="D19" i="10"/>
  <c r="D27" i="10"/>
  <c r="D18" i="10"/>
  <c r="D17" i="10"/>
  <c r="D12" i="10"/>
  <c r="D24" i="10"/>
  <c r="D10" i="10"/>
  <c r="D13" i="10"/>
  <c r="D26" i="10"/>
  <c r="D11" i="10"/>
  <c r="C30" i="10"/>
  <c r="D21" i="10"/>
  <c r="D16" i="10"/>
  <c r="D22" i="10"/>
  <c r="F666" i="1"/>
  <c r="F671" i="1"/>
  <c r="C4" i="10" s="1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<sst xmlns="http://schemas.openxmlformats.org/spreadsheetml/2006/main" count="3946" uniqueCount="912">
  <si>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</si>
  <si>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</si>
  <si>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</si>
  <si>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</si>
  <si>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</si>
  <si>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</si>
  <si>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</si>
  <si>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</si>
  <si>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</si>
  <si>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</si>
  <si>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</si>
  <si>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</si>
  <si>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</si>
  <si>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</si>
  <si>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</si>
  <si>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</si>
  <si>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</si>
  <si>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</si>
  <si>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</si>
  <si>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</si>
  <si>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</si>
  <si>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</si>
  <si>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</si>
  <si>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</si>
  <si>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</si>
  <si>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</si>
  <si>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</si>
  <si>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</si>
  <si>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</si>
  <si>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</si>
  <si>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</si>
  <si>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</si>
  <si>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</si>
  <si>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</si>
  <si>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</si>
  <si>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</si>
  <si>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</si>
  <si>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</si>
  <si>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</si>
  <si>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</si>
  <si>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</si>
  <si>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</si>
  <si>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</si>
  <si>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</si>
  <si>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</si>
  <si>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</si>
  <si>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</si>
  <si>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</si>
  <si>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</si>
  <si>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</si>
  <si>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</si>
  <si>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</si>
  <si>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</si>
  <si>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</si>
  <si>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</si>
  <si>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</si>
  <si>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</si>
  <si>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</si>
  <si>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</si>
  <si>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</si>
  <si>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</si>
  <si>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</si>
  <si>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</si>
  <si>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</si>
  <si>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</si>
  <si>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</si>
  <si>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</si>
  <si>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</si>
  <si>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</si>
  <si>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</si>
  <si>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</si>
  <si>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</si>
  <si>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</si>
  <si>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</si>
  <si>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</si>
  <si>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</si>
  <si>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</si>
  <si>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</si>
  <si>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</si>
  <si>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</si>
  <si>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</si>
  <si>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</si>
  <si>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</si>
  <si>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</si>
  <si>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</si>
  <si>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</si>
  <si>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</si>
  <si>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</si>
  <si>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</si>
  <si>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</si>
  <si>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</si>
  <si>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</si>
  <si>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</si>
  <si>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</si>
  <si>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</si>
  <si>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</si>
  <si>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</si>
  <si>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</si>
  <si>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</si>
  <si>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</si>
  <si>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</si>
  <si>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</si>
  <si>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</si>
  <si>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</si>
  <si>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</si>
  <si>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</si>
  <si>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</si>
  <si>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</si>
  <si>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</si>
  <si>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</si>
  <si>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</si>
  <si>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</si>
  <si>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</si>
  <si>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</si>
  <si>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</si>
  <si>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</si>
  <si>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</si>
  <si>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</si>
  <si>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</si>
  <si>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</si>
  <si>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</si>
  <si>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</si>
  <si>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</si>
  <si>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</si>
  <si>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</si>
  <si>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</si>
  <si>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</si>
  <si>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</si>
  <si>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</si>
  <si>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</si>
  <si>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</si>
  <si>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</si>
  <si>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</si>
  <si>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</si>
  <si>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</si>
  <si>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</si>
  <si>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</si>
  <si>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</si>
  <si>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</si>
  <si>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</si>
  <si>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</si>
  <si>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</si>
  <si>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</si>
  <si>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</si>
  <si>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</si>
  <si>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</si>
  <si>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</si>
  <si>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</si>
  <si>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</si>
  <si>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</si>
  <si>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</si>
  <si>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</si>
  <si>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</si>
  <si>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</si>
  <si>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</si>
  <si>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</si>
  <si>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</si>
  <si>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</si>
  <si>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</si>
  <si>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</si>
  <si>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</si>
  <si>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</si>
  <si>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</si>
  <si>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</si>
  <si>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</si>
  <si>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</si>
  <si>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</si>
  <si>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</si>
  <si>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</si>
  <si>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</si>
  <si>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</si>
  <si>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</si>
  <si>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</si>
  <si>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</si>
  <si>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</si>
  <si>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</si>
  <si>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</si>
  <si>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</si>
  <si>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</si>
  <si>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</si>
  <si>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</si>
  <si>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</si>
  <si>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</si>
  <si>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</si>
  <si>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</si>
  <si>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</si>
  <si>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</si>
  <si>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</si>
  <si>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</si>
  <si>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</si>
  <si>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</si>
  <si>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</si>
  <si>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</si>
  <si>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</si>
  <si>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</si>
  <si>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</si>
  <si>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</si>
  <si>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</si>
  <si>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</si>
  <si>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</si>
  <si>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</si>
  <si>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</si>
  <si>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</si>
  <si>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</si>
  <si>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</si>
  <si>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</si>
  <si>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</si>
  <si>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</si>
  <si>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</si>
  <si>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</si>
  <si>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</si>
  <si>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</si>
  <si>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</si>
  <si>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</si>
  <si>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</si>
  <si>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</si>
  <si>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</si>
  <si>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</si>
  <si>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</si>
  <si>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</si>
  <si>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</si>
  <si>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</si>
  <si>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</si>
  <si>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</si>
  <si>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</si>
  <si>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</si>
  <si>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</si>
  <si>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</si>
  <si>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</si>
  <si>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</si>
  <si>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</si>
  <si>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</si>
  <si>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</si>
  <si>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</si>
  <si>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</si>
  <si>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</si>
  <si>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</si>
  <si>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</si>
  <si>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</si>
  <si>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</si>
  <si>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</si>
  <si>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</si>
  <si>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</si>
  <si>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</si>
  <si>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</si>
  <si>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</si>
  <si>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</si>
  <si>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</si>
  <si>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</si>
  <si>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</si>
  <si>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</si>
  <si>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</si>
  <si>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</si>
  <si>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</si>
  <si>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</si>
  <si>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</si>
  <si>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</si>
  <si>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</si>
  <si>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</si>
  <si>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</si>
  <si>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</si>
  <si>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</si>
  <si>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</si>
  <si>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</si>
  <si>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</si>
  <si>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</si>
  <si>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</si>
  <si>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</si>
  <si>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</si>
  <si>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</si>
  <si>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</si>
  <si>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</si>
  <si>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</si>
  <si>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</si>
  <si>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</si>
  <si>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</si>
  <si>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</si>
  <si>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</si>
  <si>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</si>
  <si>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</si>
  <si>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</si>
  <si>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</si>
  <si>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</si>
  <si>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</si>
  <si>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</si>
  <si>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</si>
  <si>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</si>
  <si>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</si>
  <si>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</si>
  <si>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</si>
  <si>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</si>
  <si>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</si>
  <si>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</si>
  <si>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</si>
  <si>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</si>
  <si>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</si>
  <si>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</si>
  <si>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</si>
  <si>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</si>
  <si>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</si>
  <si>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</si>
  <si>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</si>
  <si>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</si>
  <si>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</si>
  <si>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</si>
  <si>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</si>
  <si>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</si>
  <si>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</si>
  <si>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</si>
  <si>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</si>
  <si>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</si>
  <si>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</si>
  <si>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</si>
  <si>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</si>
  <si>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</si>
  <si>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</si>
  <si>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</si>
  <si>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</si>
  <si>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</si>
  <si>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</si>
  <si>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</si>
  <si>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</si>
  <si>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</si>
  <si>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</si>
  <si>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</si>
  <si>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</si>
  <si>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</si>
  <si>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</si>
  <si>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</si>
  <si>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</si>
  <si>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</si>
  <si>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</si>
  <si>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</si>
  <si>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</si>
  <si>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</si>
  <si>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</si>
  <si>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</si>
  <si>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</si>
  <si>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</si>
  <si>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</si>
  <si>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</si>
  <si>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</si>
  <si>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</si>
  <si>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</si>
  <si>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</si>
  <si>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</si>
  <si>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</si>
  <si>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</si>
  <si>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</si>
  <si>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</si>
  <si>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</si>
  <si>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</si>
  <si>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</si>
  <si>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</si>
  <si>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</si>
  <si>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</si>
  <si>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</si>
  <si>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</si>
  <si>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</si>
  <si>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</si>
  <si>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</si>
  <si>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</si>
  <si>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</si>
  <si>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</si>
  <si>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</si>
  <si>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</si>
  <si>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</si>
  <si>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</si>
  <si>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</si>
  <si>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</si>
  <si>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</si>
  <si>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</si>
  <si>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</si>
  <si>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</si>
  <si>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</si>
  <si>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</si>
  <si>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</si>
  <si>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</si>
  <si>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</si>
  <si>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</si>
  <si>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</si>
  <si>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</si>
  <si>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</si>
  <si>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</si>
  <si>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</si>
  <si>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</si>
  <si>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</si>
  <si>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</si>
  <si>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</si>
  <si>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</si>
  <si>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</si>
  <si>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</si>
  <si>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</si>
  <si>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</si>
  <si>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</si>
  <si>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</si>
  <si>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</si>
  <si>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</si>
  <si>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</si>
  <si>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</si>
  <si>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</si>
  <si>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</si>
  <si>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</si>
  <si>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</si>
  <si>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</si>
  <si>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</si>
  <si>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</si>
  <si>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</si>
  <si>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</si>
  <si>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</si>
  <si>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</si>
  <si>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</si>
  <si>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</si>
  <si>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</si>
  <si>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</si>
  <si>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</si>
  <si>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</si>
  <si>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</si>
  <si>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</si>
  <si>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</si>
  <si>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</si>
  <si>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</si>
  <si>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</si>
  <si>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</si>
  <si>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</si>
  <si>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</si>
  <si>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</si>
  <si>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</si>
  <si>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</si>
  <si>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</si>
  <si>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</si>
  <si>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</si>
  <si>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</si>
  <si>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</si>
  <si>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</si>
  <si>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</si>
  <si>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</si>
  <si>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</si>
  <si>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</si>
  <si>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</si>
  <si>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</si>
  <si>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</si>
  <si>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</si>
  <si>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</si>
  <si>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</si>
  <si>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</si>
  <si>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</si>
  <si>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</si>
  <si>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</si>
  <si>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</si>
  <si>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</si>
  <si>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</si>
  <si>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</si>
  <si>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</si>
  <si>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</si>
  <si>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</si>
  <si>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</si>
  <si>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</si>
  <si>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</si>
  <si>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</si>
  <si>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</si>
  <si>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</si>
  <si>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</si>
  <si>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</si>
  <si>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</si>
  <si>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</si>
  <si>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</si>
  <si>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</si>
  <si>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</si>
  <si>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</si>
  <si>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</si>
  <si>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</si>
  <si>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</si>
  <si>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</si>
  <si>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</si>
  <si>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</si>
  <si>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</si>
  <si>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</si>
  <si>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</si>
  <si>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</si>
  <si>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</si>
  <si>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</si>
  <si>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</si>
  <si>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</si>
  <si>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</si>
  <si>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</si>
  <si>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</si>
  <si>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</si>
  <si>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</si>
  <si>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</si>
  <si>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</si>
  <si>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</si>
  <si>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</si>
  <si>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</si>
  <si>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</si>
  <si>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</si>
  <si>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</si>
  <si>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</si>
  <si>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</si>
  <si>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</si>
  <si>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</si>
  <si>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</si>
  <si>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</si>
  <si>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</si>
  <si>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</si>
  <si>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</si>
  <si>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</si>
  <si>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</si>
  <si>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</si>
  <si>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</si>
  <si>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</si>
  <si>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</si>
  <si>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</si>
  <si>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</si>
  <si>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</si>
  <si>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</si>
  <si>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</si>
  <si>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</si>
  <si>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</si>
  <si>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</si>
  <si>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</si>
  <si>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</si>
  <si>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</si>
  <si>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</si>
  <si>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</si>
  <si>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</si>
  <si>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</si>
  <si>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</si>
  <si>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</si>
  <si>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</si>
  <si>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</si>
  <si>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</si>
  <si>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</si>
  <si>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</si>
  <si>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</si>
  <si>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</si>
  <si>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</si>
  <si>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</si>
  <si>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</si>
  <si>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</si>
  <si>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</si>
  <si>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</si>
  <si>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</si>
  <si>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</si>
  <si>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</si>
  <si>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</si>
  <si>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</si>
  <si>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</si>
  <si>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</si>
  <si>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</si>
  <si>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</si>
  <si>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</si>
  <si>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</si>
  <si>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</si>
  <si>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</si>
  <si>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</si>
  <si>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</si>
  <si>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</si>
  <si>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</si>
  <si>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</si>
  <si>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</si>
  <si>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</si>
  <si>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</si>
  <si>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</si>
  <si>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</si>
  <si>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</si>
  <si>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</si>
  <si>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</si>
  <si>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</si>
  <si>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</si>
  <si>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</si>
  <si>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</si>
  <si>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</si>
  <si>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</si>
  <si>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</si>
  <si>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</si>
  <si>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</si>
  <si>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</si>
  <si>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</si>
  <si>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</si>
  <si>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</si>
  <si>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</si>
  <si>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</si>
  <si>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</si>
  <si>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</si>
  <si>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</si>
  <si>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</si>
  <si>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</si>
  <si>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</si>
  <si>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</si>
  <si>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</si>
  <si>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</si>
  <si>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</si>
  <si>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</si>
  <si>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</si>
  <si>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</si>
  <si>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</si>
  <si>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</si>
  <si>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</si>
  <si>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</si>
  <si>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</si>
  <si>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</si>
  <si>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</si>
  <si>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</si>
  <si>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</si>
  <si>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</si>
  <si>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</si>
  <si>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</si>
  <si>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</si>
  <si>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</si>
  <si>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</si>
  <si>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</si>
  <si>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</si>
  <si>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</si>
  <si>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</si>
  <si>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</si>
  <si>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</si>
  <si>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</si>
  <si>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</si>
  <si>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</si>
  <si>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</si>
  <si>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</si>
  <si>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</si>
  <si>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</si>
  <si>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</si>
  <si>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</si>
  <si>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</si>
  <si>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</si>
  <si>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</si>
  <si>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</si>
  <si>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</si>
  <si>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</si>
  <si>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</si>
  <si>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</si>
  <si>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</si>
  <si>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</si>
  <si>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</si>
  <si>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</si>
  <si>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</si>
  <si>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</si>
  <si>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</si>
  <si>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</si>
  <si>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</si>
  <si>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</si>
  <si>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</si>
  <si>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</si>
  <si>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</si>
  <si>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</si>
  <si>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</si>
  <si>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</si>
  <si>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</si>
  <si>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</si>
  <si>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</si>
  <si>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</si>
  <si>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</si>
  <si>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</si>
  <si>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</si>
  <si>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</si>
  <si>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</si>
  <si>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</si>
  <si>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</si>
  <si>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</si>
  <si>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</si>
  <si>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</si>
  <si>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</si>
  <si>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</si>
  <si>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</si>
  <si>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</si>
  <si>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</si>
  <si>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</si>
  <si>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</si>
  <si>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</si>
  <si>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</si>
  <si>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</si>
  <si>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</si>
  <si>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</si>
  <si>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</si>
  <si>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</si>
  <si>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</si>
  <si>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</si>
  <si>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</si>
  <si>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</si>
  <si>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</si>
  <si>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</si>
  <si>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</si>
  <si>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</si>
  <si>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</si>
  <si>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</si>
  <si>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</si>
  <si>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</si>
  <si>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</si>
  <si>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</si>
  <si>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</si>
  <si>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</si>
  <si>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</si>
  <si>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</si>
  <si>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</si>
  <si>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</si>
  <si>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</si>
  <si>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</si>
  <si>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</si>
  <si>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</si>
  <si>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</si>
  <si>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</si>
  <si>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</si>
  <si>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</si>
  <si>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</si>
  <si>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</si>
  <si>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</si>
  <si>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</si>
  <si>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</si>
  <si>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</si>
  <si>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</si>
  <si>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</si>
  <si>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</si>
  <si>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</si>
  <si>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</si>
  <si>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</si>
  <si>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</si>
  <si>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</si>
  <si>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</si>
  <si>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</si>
  <si>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</si>
  <si>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</si>
  <si>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</si>
  <si>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</si>
  <si>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</si>
  <si>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</si>
  <si>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</si>
  <si>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</si>
  <si>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</si>
  <si>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</si>
  <si>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</si>
  <si>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</si>
  <si>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</si>
  <si>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</si>
  <si>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</si>
  <si>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</si>
  <si>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</si>
  <si>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</si>
  <si>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</si>
  <si>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</si>
  <si>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</si>
  <si>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</si>
  <si>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</si>
  <si>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</si>
  <si>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</si>
  <si>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</si>
  <si>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</si>
  <si>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</si>
  <si>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</si>
  <si>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</si>
  <si>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</si>
  <si>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</si>
  <si>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</si>
  <si>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</si>
  <si>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</si>
  <si>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</si>
  <si>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</si>
  <si>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</si>
  <si>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</si>
  <si>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</si>
  <si>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</si>
  <si>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</si>
  <si>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</si>
  <si>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</si>
  <si>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</si>
  <si>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</si>
  <si>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</si>
  <si>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</si>
  <si>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</si>
  <si>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</si>
  <si>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</si>
  <si>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</si>
  <si>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</si>
  <si>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</si>
  <si>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</si>
  <si>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</si>
  <si>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</si>
  <si>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</si>
  <si>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</si>
  <si>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</si>
  <si>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</si>
  <si>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</si>
  <si>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</si>
  <si>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</si>
  <si>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</si>
  <si>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</si>
  <si>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</si>
  <si>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</si>
  <si>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</si>
  <si>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</si>
  <si>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</si>
  <si>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</si>
  <si>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</si>
  <si>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</si>
  <si>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</si>
  <si>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</si>
  <si>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</si>
  <si>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</si>
  <si>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</si>
  <si>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</si>
  <si>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</si>
  <si>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</si>
  <si>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</si>
  <si>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</si>
  <si>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</si>
  <si>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</si>
  <si>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</si>
  <si>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</si>
  <si>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</si>
  <si>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</si>
  <si>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</si>
  <si>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</si>
  <si>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</si>
  <si>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</si>
  <si>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</si>
  <si>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</si>
  <si>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</si>
  <si>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</si>
  <si>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</si>
  <si>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</si>
  <si>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</si>
  <si>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</si>
  <si>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</si>
  <si>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</si>
  <si>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</si>
  <si>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</si>
  <si>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</si>
  <si>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</si>
  <si>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</si>
  <si>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</si>
  <si>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</si>
  <si>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</si>
  <si>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</si>
  <si>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</si>
  <si>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</si>
  <si>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</si>
  <si>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</si>
  <si>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</si>
  <si>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</si>
  <si>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</si>
  <si>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</si>
  <si>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</si>
  <si>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</si>
  <si>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</si>
  <si>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</si>
  <si>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</si>
  <si>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</si>
  <si>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</si>
  <si>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</si>
  <si>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</si>
  <si>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</si>
  <si>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</si>
  <si>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</si>
  <si>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</si>
  <si>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</si>
  <si>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</si>
  <si>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</si>
  <si>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</si>
  <si>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</si>
  <si>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</si>
  <si>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</si>
  <si>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</si>
  <si>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</si>
  <si>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</si>
  <si>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</si>
  <si>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</si>
  <si>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</si>
  <si>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</si>
  <si>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</si>
  <si>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</si>
  <si>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</si>
  <si>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</si>
  <si>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</si>
  <si>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</si>
  <si>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</si>
  <si>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</si>
  <si>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</si>
  <si>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</si>
  <si>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</si>
  <si>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</si>
  <si>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</si>
  <si>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</si>
  <si>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</si>
  <si>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</si>
  <si>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</si>
  <si>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</si>
  <si>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</si>
  <si>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</si>
  <si>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</si>
  <si>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</si>
  <si>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</si>
  <si>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</si>
  <si>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</si>
  <si>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</si>
  <si>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</si>
  <si>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</si>
  <si>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</si>
  <si>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</si>
  <si>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</si>
  <si>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</si>
  <si>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</si>
  <si>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</si>
  <si>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</si>
  <si>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</si>
  <si>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</si>
  <si>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</si>
  <si>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</si>
  <si>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HUDSON SCHOOL DISTRICT</t>
  </si>
  <si>
    <t>8/10</t>
  </si>
  <si>
    <t>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</si>
</sst>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5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267</v>
      </c>
      <c r="C2" s="21">
        <v>267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1413862.26+100+100</f>
        <v>1414062.26</v>
      </c>
      <c r="G9" s="18">
        <v>183268.37</v>
      </c>
      <c r="H9" s="18">
        <f>42976.67+223997.52</f>
        <v>266974.19</v>
      </c>
      <c r="I9" s="18"/>
      <c r="J9" s="67">
        <f>SUM(I438)</f>
        <v>683023.1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9651.07+275029.18</f>
        <v>284680.25</v>
      </c>
      <c r="G12" s="18"/>
      <c r="H12" s="18"/>
      <c r="I12" s="18"/>
      <c r="J12" s="67">
        <f>SUM(I440)</f>
        <v>56459.6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326039.18</v>
      </c>
      <c r="G13" s="18">
        <v>71091.28</v>
      </c>
      <c r="H13" s="18">
        <f>278196.43-0.02</f>
        <v>278196.40999999997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13408.36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43923.8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2082113.85</v>
      </c>
      <c r="G19" s="41">
        <f>SUM(G9:G18)</f>
        <v>254359.65</v>
      </c>
      <c r="H19" s="41">
        <f>SUM(H9:H18)</f>
        <v>545170.6</v>
      </c>
      <c r="I19" s="41">
        <f>SUM(I9:I18)</f>
        <v>0</v>
      </c>
      <c r="J19" s="41">
        <f>SUM(J9:J18)</f>
        <v>739482.7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275029.18</f>
        <v>275029.18</v>
      </c>
      <c r="I22" s="18"/>
      <c r="J22" s="67">
        <f>SUM(I447)</f>
        <v>55064.67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62001.82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177277.95</v>
      </c>
      <c r="G24" s="18">
        <v>617.70000000000005</v>
      </c>
      <c r="H24" s="18">
        <f>1289.29</f>
        <v>1289.29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2682.33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1039716.86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22746.82</v>
      </c>
      <c r="H30" s="18">
        <f>3167.25+1200</f>
        <v>4367.25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1281678.96</v>
      </c>
      <c r="G32" s="41">
        <f>SUM(G22:G31)</f>
        <v>23364.52</v>
      </c>
      <c r="H32" s="41">
        <f>SUM(H22:H31)</f>
        <v>280685.71999999997</v>
      </c>
      <c r="I32" s="41">
        <f>SUM(I22:I31)</f>
        <v>0</v>
      </c>
      <c r="J32" s="41">
        <f>SUM(J22:J31)</f>
        <v>55064.67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43923.8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230995.13</v>
      </c>
      <c r="H47" s="18">
        <f>41776.67+222708.23-0.02</f>
        <v>264484.88</v>
      </c>
      <c r="I47" s="18"/>
      <c r="J47" s="13">
        <f>SUM(I458)</f>
        <v>684418.03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295420.08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461091.01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800434.89</v>
      </c>
      <c r="G50" s="41">
        <f>SUM(G35:G49)</f>
        <v>230995.13</v>
      </c>
      <c r="H50" s="41">
        <f>SUM(H35:H49)</f>
        <v>264484.88</v>
      </c>
      <c r="I50" s="41">
        <f>SUM(I35:I49)</f>
        <v>0</v>
      </c>
      <c r="J50" s="41">
        <f>SUM(J35:J49)</f>
        <v>684418.03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2082113.85</v>
      </c>
      <c r="G51" s="41">
        <f>G50+G32</f>
        <v>254359.65</v>
      </c>
      <c r="H51" s="41">
        <f>H50+H32</f>
        <v>545170.6</v>
      </c>
      <c r="I51" s="41">
        <f>I50+I32</f>
        <v>0</v>
      </c>
      <c r="J51" s="41">
        <f>J50+J32</f>
        <v>739482.70000000007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25362603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25362603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39696.57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f>93960.27+7455.55</f>
        <v>101415.82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141112.39000000001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7269.6</v>
      </c>
      <c r="G95" s="18">
        <v>521.14</v>
      </c>
      <c r="H95" s="18">
        <f>548.9+110.16</f>
        <v>659.06</v>
      </c>
      <c r="I95" s="18"/>
      <c r="J95" s="18">
        <v>4158.71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792892.68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10782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31393.5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79759.929999999993</v>
      </c>
      <c r="G101" s="18">
        <v>18850.27</v>
      </c>
      <c r="H101" s="18">
        <v>6600</v>
      </c>
      <c r="I101" s="18"/>
      <c r="J101" s="18">
        <v>158926.29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>
        <f>31305.77+25096.17+13872.5+5780+24580+19190.38+28773.33+61193.83</f>
        <v>209791.98000000004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259083.05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29675.76+1500.74</f>
        <v>31176.5</v>
      </c>
      <c r="G109" s="18">
        <v>4211.43</v>
      </c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419464.57999999996</v>
      </c>
      <c r="G110" s="41">
        <f>SUM(G95:G109)</f>
        <v>816475.52000000014</v>
      </c>
      <c r="H110" s="41">
        <f>SUM(H95:H109)</f>
        <v>217051.04000000004</v>
      </c>
      <c r="I110" s="41">
        <f>SUM(I95:I109)</f>
        <v>0</v>
      </c>
      <c r="J110" s="41">
        <f>SUM(J95:J109)</f>
        <v>163085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25923179.969999999</v>
      </c>
      <c r="G111" s="41">
        <f>G59+G110</f>
        <v>816475.52000000014</v>
      </c>
      <c r="H111" s="41">
        <f>H59+H78+H93+H110</f>
        <v>217051.04000000004</v>
      </c>
      <c r="I111" s="41">
        <f>I59+I110</f>
        <v>0</v>
      </c>
      <c r="J111" s="41">
        <f>J59+J110</f>
        <v>163085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9304212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5999366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15303578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373206.56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360525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188004.22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157056.64000000001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2551.15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16443.310000000001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1081343.5699999998</v>
      </c>
      <c r="G135" s="41">
        <f>SUM(G122:G134)</f>
        <v>16443.310000000001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16384921.57</v>
      </c>
      <c r="G139" s="41">
        <f>G120+SUM(G135:G136)</f>
        <v>16443.310000000001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581686.93999999994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106223.27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207240.72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60445.9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286364.11+42259.61</f>
        <v>328623.71999999997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940029.62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267064.51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5435.7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267064.51</v>
      </c>
      <c r="G161" s="41">
        <f>SUM(G149:G160)</f>
        <v>328623.71999999997</v>
      </c>
      <c r="H161" s="41">
        <f>SUM(H149:H160)</f>
        <v>1901062.15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267064.51</v>
      </c>
      <c r="G168" s="41">
        <f>G146+G161+SUM(G162:G167)</f>
        <v>328623.71999999997</v>
      </c>
      <c r="H168" s="41">
        <f>H146+H161+SUM(H162:H167)</f>
        <v>1901062.15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46685.99</v>
      </c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46685.99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46685.99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42621852.039999999</v>
      </c>
      <c r="G192" s="47">
        <f>G111+G139+G168+G191</f>
        <v>1161542.5500000003</v>
      </c>
      <c r="H192" s="47">
        <f>H111+H139+H168+H191</f>
        <v>2118113.19</v>
      </c>
      <c r="I192" s="47">
        <f>I111+I139+I168+I191</f>
        <v>0</v>
      </c>
      <c r="J192" s="47">
        <f>J111+J139+J191</f>
        <v>163085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4198980.98+222306.83</f>
        <v>4421287.8100000005</v>
      </c>
      <c r="G196" s="18">
        <f>2123783.63+99150.23</f>
        <v>2222933.86</v>
      </c>
      <c r="H196" s="18">
        <f>42492+32753.94</f>
        <v>75245.94</v>
      </c>
      <c r="I196" s="18">
        <v>207370.32</v>
      </c>
      <c r="J196" s="18">
        <v>72135.12</v>
      </c>
      <c r="K196" s="18"/>
      <c r="L196" s="19">
        <f>SUM(F196:K196)</f>
        <v>6998973.0500000007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1253686.51+203498.29</f>
        <v>1457184.8</v>
      </c>
      <c r="G197" s="18">
        <f>393306.49+57301.41</f>
        <v>450607.9</v>
      </c>
      <c r="H197" s="18">
        <f>957.39+504756.29</f>
        <v>505713.68</v>
      </c>
      <c r="I197" s="18">
        <f>9168.1+2842.71</f>
        <v>12010.810000000001</v>
      </c>
      <c r="J197" s="18">
        <f>21594.12+1261.16</f>
        <v>22855.279999999999</v>
      </c>
      <c r="K197" s="18"/>
      <c r="L197" s="19">
        <f>SUM(F197:K197)</f>
        <v>2448372.4700000002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2766</v>
      </c>
      <c r="G199" s="18">
        <v>292.70999999999998</v>
      </c>
      <c r="H199" s="18"/>
      <c r="I199" s="18"/>
      <c r="J199" s="18"/>
      <c r="K199" s="18"/>
      <c r="L199" s="19">
        <f>SUM(F199:K199)</f>
        <v>3058.71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641481.76+417406.06</f>
        <v>1058887.82</v>
      </c>
      <c r="G201" s="18">
        <f>300759.55+189288.46</f>
        <v>490048.01</v>
      </c>
      <c r="H201" s="18">
        <f>20073.66+100927.34</f>
        <v>121001</v>
      </c>
      <c r="I201" s="18">
        <f>1649.57+2870.95</f>
        <v>4520.5199999999995</v>
      </c>
      <c r="J201" s="18">
        <v>165.88</v>
      </c>
      <c r="K201" s="18">
        <v>6286.6</v>
      </c>
      <c r="L201" s="19">
        <f t="shared" ref="L201:L207" si="0">SUM(F201:K201)</f>
        <v>1680909.83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120711.55+82469.34</f>
        <v>203180.89</v>
      </c>
      <c r="G202" s="18">
        <f>100721.67+68907.28</f>
        <v>169628.95</v>
      </c>
      <c r="H202" s="18">
        <f>12594.04+45792.49</f>
        <v>58386.53</v>
      </c>
      <c r="I202" s="18">
        <f>36538.62+1415.94</f>
        <v>37954.560000000005</v>
      </c>
      <c r="J202" s="18">
        <f>13462.59+1543.31</f>
        <v>15005.9</v>
      </c>
      <c r="K202" s="18"/>
      <c r="L202" s="19">
        <f t="shared" si="0"/>
        <v>484156.83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208180.51</v>
      </c>
      <c r="G203" s="18">
        <v>83178.94</v>
      </c>
      <c r="H203" s="18">
        <v>28059.85</v>
      </c>
      <c r="I203" s="18">
        <v>6534.78</v>
      </c>
      <c r="J203" s="18">
        <v>1533.62</v>
      </c>
      <c r="K203" s="18">
        <f>5818.01+0.01</f>
        <v>5818.02</v>
      </c>
      <c r="L203" s="19">
        <f t="shared" si="0"/>
        <v>333305.72000000003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761175.01</v>
      </c>
      <c r="G204" s="18">
        <v>286538.67</v>
      </c>
      <c r="H204" s="18">
        <f>35915.86+12826.17</f>
        <v>48742.03</v>
      </c>
      <c r="I204" s="18">
        <v>19747.91</v>
      </c>
      <c r="J204" s="18">
        <v>4246</v>
      </c>
      <c r="K204" s="18">
        <v>4654</v>
      </c>
      <c r="L204" s="19">
        <f t="shared" si="0"/>
        <v>1125103.6199999999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178850.06</v>
      </c>
      <c r="G205" s="18">
        <v>95270.1</v>
      </c>
      <c r="H205" s="18">
        <v>51207.14</v>
      </c>
      <c r="I205" s="18">
        <v>8315.5499999999993</v>
      </c>
      <c r="J205" s="18">
        <v>231.84</v>
      </c>
      <c r="K205" s="18"/>
      <c r="L205" s="19">
        <f t="shared" si="0"/>
        <v>333874.69000000006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536272.37+139334.53</f>
        <v>675606.9</v>
      </c>
      <c r="G206" s="18">
        <f>221757.51+45978.51</f>
        <v>267736.02</v>
      </c>
      <c r="H206" s="18">
        <f>326817.2+212107.28</f>
        <v>538924.48</v>
      </c>
      <c r="I206" s="18">
        <f>365369.69+20868.48</f>
        <v>386238.17</v>
      </c>
      <c r="J206" s="18">
        <v>14384.92</v>
      </c>
      <c r="K206" s="18"/>
      <c r="L206" s="19">
        <f t="shared" si="0"/>
        <v>1882890.4899999998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1826.63+480912.36+238846.62</f>
        <v>721585.61</v>
      </c>
      <c r="I207" s="18"/>
      <c r="J207" s="18"/>
      <c r="K207" s="18"/>
      <c r="L207" s="19">
        <f t="shared" si="0"/>
        <v>721585.61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8967119.7999999989</v>
      </c>
      <c r="G210" s="41">
        <f t="shared" si="1"/>
        <v>4066235.1599999997</v>
      </c>
      <c r="H210" s="41">
        <f t="shared" si="1"/>
        <v>2148866.2599999998</v>
      </c>
      <c r="I210" s="41">
        <f t="shared" si="1"/>
        <v>682692.61999999988</v>
      </c>
      <c r="J210" s="41">
        <f t="shared" si="1"/>
        <v>130558.55999999998</v>
      </c>
      <c r="K210" s="41">
        <f t="shared" si="1"/>
        <v>16758.620000000003</v>
      </c>
      <c r="L210" s="41">
        <f t="shared" si="1"/>
        <v>16012231.020000001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2830914.44+121859.96</f>
        <v>2952774.4</v>
      </c>
      <c r="G214" s="18">
        <f>1228755.4+54350.3</f>
        <v>1283105.7</v>
      </c>
      <c r="H214" s="18">
        <f>22358.06+17954.44</f>
        <v>40312.5</v>
      </c>
      <c r="I214" s="18">
        <f>110928.34</f>
        <v>110928.34</v>
      </c>
      <c r="J214" s="18">
        <f>100334.51</f>
        <v>100334.51</v>
      </c>
      <c r="K214" s="18">
        <f>812</f>
        <v>812</v>
      </c>
      <c r="L214" s="19">
        <f>SUM(F214:K214)</f>
        <v>4488267.4499999993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866906.46+95446.1</f>
        <v>962352.55999999994</v>
      </c>
      <c r="G215" s="18">
        <f>416929.16+26875.88</f>
        <v>443805.04</v>
      </c>
      <c r="H215" s="18">
        <f>3080.86+236744.1</f>
        <v>239824.96</v>
      </c>
      <c r="I215" s="18">
        <f>8700.71+1333.31</f>
        <v>10034.019999999999</v>
      </c>
      <c r="J215" s="18">
        <f>12955.32+591.52</f>
        <v>13546.84</v>
      </c>
      <c r="K215" s="18"/>
      <c r="L215" s="19">
        <f>SUM(F215:K215)</f>
        <v>1669563.42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54933.48</f>
        <v>54933.48</v>
      </c>
      <c r="G217" s="18">
        <f>10659.56</f>
        <v>10659.56</v>
      </c>
      <c r="H217" s="18">
        <f>11764.51-6264.51</f>
        <v>5500</v>
      </c>
      <c r="I217" s="18">
        <v>6251.45</v>
      </c>
      <c r="J217" s="18"/>
      <c r="K217" s="18">
        <v>1092.5</v>
      </c>
      <c r="L217" s="19">
        <f>SUM(F217:K217)</f>
        <v>78436.990000000005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333796.64+228805.77</f>
        <v>562602.41</v>
      </c>
      <c r="G219" s="18">
        <f>152468.33+103760.58</f>
        <v>256228.90999999997</v>
      </c>
      <c r="H219" s="18">
        <f>980.5+55324.45</f>
        <v>56304.95</v>
      </c>
      <c r="I219" s="18">
        <f>5861.41+1573.74</f>
        <v>7435.15</v>
      </c>
      <c r="J219" s="18">
        <f>1733.08+90.93</f>
        <v>1824.01</v>
      </c>
      <c r="K219" s="18">
        <v>3446.07</v>
      </c>
      <c r="L219" s="19">
        <f t="shared" ref="L219:L225" si="2">SUM(F219:K219)</f>
        <v>887841.5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56853.7+48092.27</f>
        <v>104945.97</v>
      </c>
      <c r="G220" s="18">
        <f>24123.64+40183.51</f>
        <v>64307.15</v>
      </c>
      <c r="H220" s="18">
        <f>11227.4+26704.05</f>
        <v>37931.449999999997</v>
      </c>
      <c r="I220" s="18">
        <f>21396.33+825.71</f>
        <v>22222.04</v>
      </c>
      <c r="J220" s="18">
        <f>1341.5+899.99</f>
        <v>2241.4899999999998</v>
      </c>
      <c r="K220" s="18">
        <f>949</f>
        <v>949</v>
      </c>
      <c r="L220" s="19">
        <f t="shared" si="2"/>
        <v>232597.1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108518.81</v>
      </c>
      <c r="G221" s="18">
        <v>43600.42</v>
      </c>
      <c r="H221" s="18">
        <v>15300.68</v>
      </c>
      <c r="I221" s="18">
        <v>3475.75</v>
      </c>
      <c r="J221" s="18">
        <v>840.67</v>
      </c>
      <c r="K221" s="18">
        <f>3153.13-0.02</f>
        <v>3153.11</v>
      </c>
      <c r="L221" s="19">
        <f t="shared" si="2"/>
        <v>174889.43999999997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386421.03</f>
        <v>386421.03</v>
      </c>
      <c r="G222" s="18">
        <f>179639.44</f>
        <v>179639.44</v>
      </c>
      <c r="H222" s="18">
        <f>21571.02+7479.62</f>
        <v>29050.639999999999</v>
      </c>
      <c r="I222" s="18">
        <f>22770.67</f>
        <v>22770.67</v>
      </c>
      <c r="J222" s="18">
        <f>1937</f>
        <v>1937</v>
      </c>
      <c r="K222" s="18">
        <f>2710</f>
        <v>2710</v>
      </c>
      <c r="L222" s="19">
        <f t="shared" si="2"/>
        <v>622528.78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98038.65</v>
      </c>
      <c r="G223" s="18">
        <v>52223.37</v>
      </c>
      <c r="H223" s="18">
        <v>28069.759999999998</v>
      </c>
      <c r="I223" s="18">
        <v>4558.26</v>
      </c>
      <c r="J223" s="18">
        <v>127.08</v>
      </c>
      <c r="K223" s="18"/>
      <c r="L223" s="19">
        <f t="shared" si="2"/>
        <v>183017.12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265711.94+87571.88</f>
        <v>353283.82</v>
      </c>
      <c r="G224" s="18">
        <f>134945.67+28897.53</f>
        <v>163843.20000000001</v>
      </c>
      <c r="H224" s="18">
        <f>84611.18+133309.62</f>
        <v>217920.8</v>
      </c>
      <c r="I224" s="18">
        <f>173221.9+13115.86</f>
        <v>186337.76</v>
      </c>
      <c r="J224" s="18">
        <v>9040.94</v>
      </c>
      <c r="K224" s="18"/>
      <c r="L224" s="19">
        <f t="shared" si="2"/>
        <v>930426.52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263617.46+112025.41+6264.51</f>
        <v>381907.38</v>
      </c>
      <c r="I225" s="18"/>
      <c r="J225" s="18"/>
      <c r="K225" s="18"/>
      <c r="L225" s="19">
        <f t="shared" si="2"/>
        <v>381907.38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5583871.1299999999</v>
      </c>
      <c r="G228" s="41">
        <f>SUM(G214:G227)</f>
        <v>2497412.79</v>
      </c>
      <c r="H228" s="41">
        <f>SUM(H214:H227)</f>
        <v>1052123.1200000001</v>
      </c>
      <c r="I228" s="41">
        <f>SUM(I214:I227)</f>
        <v>374013.44</v>
      </c>
      <c r="J228" s="41">
        <f>SUM(J214:J227)</f>
        <v>129892.54</v>
      </c>
      <c r="K228" s="41">
        <f t="shared" si="3"/>
        <v>12162.68</v>
      </c>
      <c r="L228" s="41">
        <f t="shared" si="3"/>
        <v>9649475.7000000011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3588828.29+179869.97</f>
        <v>3768698.2600000002</v>
      </c>
      <c r="G232" s="18">
        <f>1686910.28+80223.13</f>
        <v>1767133.4100000001</v>
      </c>
      <c r="H232" s="18">
        <f>49960.05+26501.44</f>
        <v>76461.490000000005</v>
      </c>
      <c r="I232" s="18">
        <f>142505.7</f>
        <v>142505.70000000001</v>
      </c>
      <c r="J232" s="18">
        <f>82287.88</f>
        <v>82287.88</v>
      </c>
      <c r="K232" s="18">
        <f>2662</f>
        <v>2662</v>
      </c>
      <c r="L232" s="19">
        <f>SUM(F232:K232)</f>
        <v>5839748.7400000002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1103859.86+167480.89</f>
        <v>1271340.75</v>
      </c>
      <c r="G233" s="18">
        <f>413192.27+47159.57</f>
        <v>460351.84</v>
      </c>
      <c r="H233" s="18">
        <f>5328.82+415418.89</f>
        <v>420747.71</v>
      </c>
      <c r="I233" s="18">
        <f>3975.75+2339.58</f>
        <v>6315.33</v>
      </c>
      <c r="J233" s="18">
        <f>4110.74+1037.94</f>
        <v>5148.68</v>
      </c>
      <c r="K233" s="18"/>
      <c r="L233" s="19">
        <f>SUM(F233:K233)</f>
        <v>2163904.3100000005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881488.94</v>
      </c>
      <c r="G234" s="18">
        <v>417963.97</v>
      </c>
      <c r="H234" s="18">
        <f>67054.15-12389.96</f>
        <v>54664.189999999995</v>
      </c>
      <c r="I234" s="18">
        <v>108968.54</v>
      </c>
      <c r="J234" s="18">
        <v>8943.41</v>
      </c>
      <c r="K234" s="18">
        <v>1005</v>
      </c>
      <c r="L234" s="19">
        <f>SUM(F234:K234)</f>
        <v>1473034.0499999998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250606.66</f>
        <v>250606.66</v>
      </c>
      <c r="G235" s="18">
        <f>37734.2</f>
        <v>37734.199999999997</v>
      </c>
      <c r="H235" s="18">
        <f>165141.31-55898.44</f>
        <v>109242.87</v>
      </c>
      <c r="I235" s="18">
        <f>42912.23</f>
        <v>42912.23</v>
      </c>
      <c r="J235" s="18">
        <f>8096.51</f>
        <v>8096.51</v>
      </c>
      <c r="K235" s="18">
        <f>13218.5</f>
        <v>13218.5</v>
      </c>
      <c r="L235" s="19">
        <f>SUM(F235:K235)</f>
        <v>461810.97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382138.01+337726.09</f>
        <v>719864.10000000009</v>
      </c>
      <c r="G237" s="18">
        <f>171043.64+153154.59</f>
        <v>324198.23</v>
      </c>
      <c r="H237" s="18">
        <f>1693.76+81661</f>
        <v>83354.759999999995</v>
      </c>
      <c r="I237" s="18">
        <f>6134.77+2322.91</f>
        <v>8457.68</v>
      </c>
      <c r="J237" s="18">
        <f>881.87+134.21</f>
        <v>1016.08</v>
      </c>
      <c r="K237" s="18">
        <f>989+5086.53</f>
        <v>6075.53</v>
      </c>
      <c r="L237" s="19">
        <f t="shared" ref="L237:L243" si="4">SUM(F237:K237)</f>
        <v>1142966.3800000001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65879+68219.78</f>
        <v>134098.78</v>
      </c>
      <c r="G238" s="18">
        <f>48363.87+57001.06</f>
        <v>105364.93</v>
      </c>
      <c r="H238" s="18">
        <f>11522.12+37880.18</f>
        <v>49402.3</v>
      </c>
      <c r="I238" s="18">
        <f>8692.37+1171.28</f>
        <v>9863.6500000000015</v>
      </c>
      <c r="J238" s="18">
        <f>-2621.91+1276.65</f>
        <v>-1345.2599999999998</v>
      </c>
      <c r="K238" s="18">
        <f>148</f>
        <v>148</v>
      </c>
      <c r="L238" s="19">
        <f t="shared" si="4"/>
        <v>297532.40000000002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169423.65</v>
      </c>
      <c r="G239" s="18">
        <v>67651.13</v>
      </c>
      <c r="H239" s="18">
        <v>22717.59</v>
      </c>
      <c r="I239" s="18">
        <v>5306.02</v>
      </c>
      <c r="J239" s="18">
        <v>1240.8599999999999</v>
      </c>
      <c r="K239" s="18">
        <v>4713.7299999999996</v>
      </c>
      <c r="L239" s="19">
        <f t="shared" si="4"/>
        <v>271052.98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604988.28</f>
        <v>604988.28</v>
      </c>
      <c r="G240" s="18">
        <f>301511.8</f>
        <v>301511.8</v>
      </c>
      <c r="H240" s="18">
        <f>44039.83+10609.99</f>
        <v>54649.82</v>
      </c>
      <c r="I240" s="18">
        <f>18249.92</f>
        <v>18249.919999999998</v>
      </c>
      <c r="J240" s="18">
        <f>782.04</f>
        <v>782.04</v>
      </c>
      <c r="K240" s="18">
        <f>10088.29</f>
        <v>10088.290000000001</v>
      </c>
      <c r="L240" s="19">
        <f t="shared" si="4"/>
        <v>990270.15000000014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144708.81</v>
      </c>
      <c r="G241" s="18">
        <v>77083.69</v>
      </c>
      <c r="H241" s="18">
        <v>41432.04</v>
      </c>
      <c r="I241" s="18">
        <v>6728.17</v>
      </c>
      <c r="J241" s="18">
        <v>187.58</v>
      </c>
      <c r="K241" s="18"/>
      <c r="L241" s="19">
        <f t="shared" si="4"/>
        <v>270140.28999999998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366272.38+124101.32</f>
        <v>490373.7</v>
      </c>
      <c r="G242" s="18">
        <f>174731.09+40951.76</f>
        <v>215682.85</v>
      </c>
      <c r="H242" s="18">
        <f>324839.54+188917.96+14417.91</f>
        <v>528175.41</v>
      </c>
      <c r="I242" s="18">
        <f>339355.75+18586.97</f>
        <v>357942.72</v>
      </c>
      <c r="J242" s="18">
        <v>12812.24</v>
      </c>
      <c r="K242" s="18"/>
      <c r="L242" s="19">
        <f t="shared" si="4"/>
        <v>1604986.92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6974.96+389109.47+196572.88+55898.44+12389.96</f>
        <v>660945.71</v>
      </c>
      <c r="I243" s="18"/>
      <c r="J243" s="18"/>
      <c r="K243" s="18"/>
      <c r="L243" s="19">
        <f t="shared" si="4"/>
        <v>660945.71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8435591.9299999997</v>
      </c>
      <c r="G246" s="41">
        <f t="shared" si="5"/>
        <v>3774676.05</v>
      </c>
      <c r="H246" s="41">
        <f t="shared" si="5"/>
        <v>2101793.89</v>
      </c>
      <c r="I246" s="41">
        <f t="shared" si="5"/>
        <v>707249.96</v>
      </c>
      <c r="J246" s="41">
        <f t="shared" si="5"/>
        <v>119170.02</v>
      </c>
      <c r="K246" s="41">
        <f t="shared" si="5"/>
        <v>37911.050000000003</v>
      </c>
      <c r="L246" s="41">
        <f t="shared" si="5"/>
        <v>15176392.900000002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55958.16</v>
      </c>
      <c r="I254" s="18"/>
      <c r="J254" s="18"/>
      <c r="K254" s="18"/>
      <c r="L254" s="19">
        <f t="shared" si="6"/>
        <v>55958.16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55958.16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55958.16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22986582.859999999</v>
      </c>
      <c r="G256" s="41">
        <f t="shared" si="8"/>
        <v>10338324</v>
      </c>
      <c r="H256" s="41">
        <f t="shared" si="8"/>
        <v>5358741.43</v>
      </c>
      <c r="I256" s="41">
        <f t="shared" si="8"/>
        <v>1763956.0199999998</v>
      </c>
      <c r="J256" s="41">
        <f t="shared" si="8"/>
        <v>379621.12</v>
      </c>
      <c r="K256" s="41">
        <f t="shared" si="8"/>
        <v>66832.350000000006</v>
      </c>
      <c r="L256" s="41">
        <f t="shared" si="8"/>
        <v>40894057.780000001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1095332.78</v>
      </c>
      <c r="L259" s="19">
        <f>SUM(F259:K259)</f>
        <v>1095332.78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750+264241.59</f>
        <v>264991.59000000003</v>
      </c>
      <c r="L260" s="19">
        <f>SUM(F260:K260)</f>
        <v>264991.59000000003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1360324.37</v>
      </c>
      <c r="L269" s="41">
        <f t="shared" si="9"/>
        <v>1360324.37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22986582.859999999</v>
      </c>
      <c r="G270" s="42">
        <f t="shared" si="11"/>
        <v>10338324</v>
      </c>
      <c r="H270" s="42">
        <f t="shared" si="11"/>
        <v>5358741.43</v>
      </c>
      <c r="I270" s="42">
        <f t="shared" si="11"/>
        <v>1763956.0199999998</v>
      </c>
      <c r="J270" s="42">
        <f t="shared" si="11"/>
        <v>379621.12</v>
      </c>
      <c r="K270" s="42">
        <f t="shared" si="11"/>
        <v>1427156.7200000002</v>
      </c>
      <c r="L270" s="42">
        <f t="shared" si="11"/>
        <v>42254382.149999999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235880.95</f>
        <v>235880.95</v>
      </c>
      <c r="G275" s="18">
        <f>19268.45</f>
        <v>19268.45</v>
      </c>
      <c r="H275" s="18">
        <f>81787.31</f>
        <v>81787.31</v>
      </c>
      <c r="I275" s="18">
        <f>16791.93</f>
        <v>16791.93</v>
      </c>
      <c r="J275" s="18">
        <f>8157.75</f>
        <v>8157.75</v>
      </c>
      <c r="K275" s="18">
        <f>7192.81</f>
        <v>7192.81</v>
      </c>
      <c r="L275" s="19">
        <f>SUM(F275:K275)</f>
        <v>369079.2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273297.95</f>
        <v>273297.95</v>
      </c>
      <c r="G276" s="18">
        <v>100571.99</v>
      </c>
      <c r="H276" s="18">
        <v>46401.16</v>
      </c>
      <c r="I276" s="18">
        <f>1667.03</f>
        <v>1667.03</v>
      </c>
      <c r="J276" s="18">
        <f>583.41</f>
        <v>583.41</v>
      </c>
      <c r="K276" s="18">
        <f>10440.94</f>
        <v>10440.94</v>
      </c>
      <c r="L276" s="19">
        <f>SUM(F276:K276)</f>
        <v>432962.48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135.84</f>
        <v>135.84</v>
      </c>
      <c r="G280" s="18">
        <f>25.74</f>
        <v>25.74</v>
      </c>
      <c r="H280" s="18">
        <f>2424</f>
        <v>2424</v>
      </c>
      <c r="I280" s="18">
        <f>1028.61</f>
        <v>1028.6099999999999</v>
      </c>
      <c r="J280" s="18">
        <f>1165.34</f>
        <v>1165.3399999999999</v>
      </c>
      <c r="K280" s="18">
        <f>161.2</f>
        <v>161.19999999999999</v>
      </c>
      <c r="L280" s="19">
        <f t="shared" ref="L280:L286" si="12">SUM(F280:K280)</f>
        <v>4940.7299999999996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50100.33</v>
      </c>
      <c r="G281" s="18">
        <v>3832.73</v>
      </c>
      <c r="H281" s="18">
        <v>10006.379999999999</v>
      </c>
      <c r="I281" s="18"/>
      <c r="J281" s="18"/>
      <c r="K281" s="18">
        <v>317.70999999999998</v>
      </c>
      <c r="L281" s="19">
        <f t="shared" si="12"/>
        <v>64257.15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559415.07000000007</v>
      </c>
      <c r="G289" s="42">
        <f t="shared" si="13"/>
        <v>123698.91</v>
      </c>
      <c r="H289" s="42">
        <f t="shared" si="13"/>
        <v>140618.85</v>
      </c>
      <c r="I289" s="42">
        <f t="shared" si="13"/>
        <v>19487.57</v>
      </c>
      <c r="J289" s="42">
        <f t="shared" si="13"/>
        <v>9906.5</v>
      </c>
      <c r="K289" s="42">
        <f t="shared" si="13"/>
        <v>18112.66</v>
      </c>
      <c r="L289" s="41">
        <f t="shared" si="13"/>
        <v>871239.55999999994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5564.13</f>
        <v>5564.13</v>
      </c>
      <c r="G294" s="18">
        <f>510.59</f>
        <v>510.59</v>
      </c>
      <c r="H294" s="18">
        <f>39050.07</f>
        <v>39050.07</v>
      </c>
      <c r="I294" s="18">
        <f>6714.57</f>
        <v>6714.57</v>
      </c>
      <c r="J294" s="18">
        <f>4471.76</f>
        <v>4471.76</v>
      </c>
      <c r="K294" s="18">
        <f>3942.82</f>
        <v>3942.82</v>
      </c>
      <c r="L294" s="19">
        <f>SUM(F294:K294)</f>
        <v>60253.94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78506.070000000007</v>
      </c>
      <c r="G295" s="18">
        <v>7267.65</v>
      </c>
      <c r="H295" s="18">
        <v>27318.41</v>
      </c>
      <c r="I295" s="18">
        <f>913.8</f>
        <v>913.8</v>
      </c>
      <c r="J295" s="18">
        <f>319.8</f>
        <v>319.8</v>
      </c>
      <c r="K295" s="18">
        <f>4897.08</f>
        <v>4897.08</v>
      </c>
      <c r="L295" s="19">
        <f>SUM(F295:K295)</f>
        <v>119222.81000000001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f>74.46</f>
        <v>74.459999999999994</v>
      </c>
      <c r="G299" s="18">
        <f>14.11</f>
        <v>14.11</v>
      </c>
      <c r="H299" s="18">
        <f>1328.74</f>
        <v>1328.74</v>
      </c>
      <c r="I299" s="18">
        <f>563.84</f>
        <v>563.84</v>
      </c>
      <c r="J299" s="18">
        <f>638.79</f>
        <v>638.79</v>
      </c>
      <c r="K299" s="18">
        <f>88.38</f>
        <v>88.38</v>
      </c>
      <c r="L299" s="19">
        <f t="shared" ref="L299:L305" si="14">SUM(F299:K299)</f>
        <v>2708.32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27463.05</v>
      </c>
      <c r="G300" s="18">
        <v>2100.9499999999998</v>
      </c>
      <c r="H300" s="18">
        <v>5485.11</v>
      </c>
      <c r="I300" s="18"/>
      <c r="J300" s="18">
        <f>57.67</f>
        <v>57.67</v>
      </c>
      <c r="K300" s="18">
        <f>116.49</f>
        <v>116.49</v>
      </c>
      <c r="L300" s="19">
        <f t="shared" si="14"/>
        <v>35223.269999999997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111607.71000000002</v>
      </c>
      <c r="G308" s="42">
        <f t="shared" si="15"/>
        <v>9893.2999999999993</v>
      </c>
      <c r="H308" s="42">
        <f t="shared" si="15"/>
        <v>73182.33</v>
      </c>
      <c r="I308" s="42">
        <f t="shared" si="15"/>
        <v>8192.2099999999991</v>
      </c>
      <c r="J308" s="42">
        <f t="shared" si="15"/>
        <v>5488.02</v>
      </c>
      <c r="K308" s="42">
        <f t="shared" si="15"/>
        <v>9044.7699999999986</v>
      </c>
      <c r="L308" s="41">
        <f t="shared" si="15"/>
        <v>217408.34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86740.86</v>
      </c>
      <c r="G313" s="18">
        <f>23892.9</f>
        <v>23892.9</v>
      </c>
      <c r="H313" s="18">
        <f>57639.4</f>
        <v>57639.4</v>
      </c>
      <c r="I313" s="18">
        <f>9910.96</f>
        <v>9910.9599999999991</v>
      </c>
      <c r="J313" s="18">
        <f>6600.49</f>
        <v>6600.49</v>
      </c>
      <c r="K313" s="18">
        <f>5819.75</f>
        <v>5819.75</v>
      </c>
      <c r="L313" s="19">
        <f>SUM(F313:K313)</f>
        <v>190604.36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207853.12</v>
      </c>
      <c r="G314" s="18">
        <v>65524.02</v>
      </c>
      <c r="H314" s="18">
        <v>31673.43</v>
      </c>
      <c r="I314" s="18">
        <f>1348.81</f>
        <v>1348.81</v>
      </c>
      <c r="J314" s="18">
        <f>472.04</f>
        <v>472.04</v>
      </c>
      <c r="K314" s="18">
        <f>8592.99</f>
        <v>8592.99</v>
      </c>
      <c r="L314" s="19">
        <f>SUM(F314:K314)</f>
        <v>315464.40999999997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f>115115+12536.41</f>
        <v>127651.41</v>
      </c>
      <c r="G315" s="18">
        <f>36709.47+1202.45</f>
        <v>37911.919999999998</v>
      </c>
      <c r="H315" s="18">
        <f>20079.19+12753.72-5034.55</f>
        <v>27798.359999999997</v>
      </c>
      <c r="I315" s="18">
        <f>7767.09+151571.15</f>
        <v>159338.23999999999</v>
      </c>
      <c r="J315" s="18">
        <f>1641.44+44755.4</f>
        <v>46396.840000000004</v>
      </c>
      <c r="K315" s="18">
        <f>5467.34+2000</f>
        <v>7467.34</v>
      </c>
      <c r="L315" s="19">
        <f>SUM(F315:K315)</f>
        <v>406564.11000000004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109.91</f>
        <v>109.91</v>
      </c>
      <c r="G318" s="18">
        <f>20.83</f>
        <v>20.83</v>
      </c>
      <c r="H318" s="18">
        <f>1961.27</f>
        <v>1961.27</v>
      </c>
      <c r="I318" s="18">
        <f>832.26</f>
        <v>832.26</v>
      </c>
      <c r="J318" s="18">
        <f>942.89</f>
        <v>942.89</v>
      </c>
      <c r="K318" s="18">
        <f>130.43</f>
        <v>130.43</v>
      </c>
      <c r="L318" s="19">
        <f t="shared" ref="L318:L324" si="16">SUM(F318:K318)</f>
        <v>3997.59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40536.519999999997</v>
      </c>
      <c r="G319" s="18">
        <v>3101.09</v>
      </c>
      <c r="H319" s="18">
        <v>8096.23</v>
      </c>
      <c r="I319" s="18"/>
      <c r="J319" s="18"/>
      <c r="K319" s="18">
        <f>257.06</f>
        <v>257.06</v>
      </c>
      <c r="L319" s="19">
        <f t="shared" si="16"/>
        <v>51990.899999999994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462891.82</v>
      </c>
      <c r="G327" s="42">
        <f t="shared" si="17"/>
        <v>130450.76</v>
      </c>
      <c r="H327" s="42">
        <f t="shared" si="17"/>
        <v>127168.69</v>
      </c>
      <c r="I327" s="42">
        <f t="shared" si="17"/>
        <v>171430.27</v>
      </c>
      <c r="J327" s="42">
        <f t="shared" si="17"/>
        <v>54412.26</v>
      </c>
      <c r="K327" s="42">
        <f t="shared" si="17"/>
        <v>22267.570000000003</v>
      </c>
      <c r="L327" s="41">
        <f t="shared" si="17"/>
        <v>968621.37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9044.32</v>
      </c>
      <c r="G332" s="18">
        <v>1596.37</v>
      </c>
      <c r="H332" s="18">
        <f>48620+5034.55</f>
        <v>53654.55</v>
      </c>
      <c r="I332" s="18"/>
      <c r="J332" s="18"/>
      <c r="K332" s="18">
        <v>4316.7700000000004</v>
      </c>
      <c r="L332" s="19">
        <f t="shared" si="18"/>
        <v>68612.010000000009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9044.32</v>
      </c>
      <c r="G336" s="41">
        <f t="shared" si="19"/>
        <v>1596.37</v>
      </c>
      <c r="H336" s="41">
        <f t="shared" si="19"/>
        <v>53654.55</v>
      </c>
      <c r="I336" s="41">
        <f t="shared" si="19"/>
        <v>0</v>
      </c>
      <c r="J336" s="41">
        <f t="shared" si="19"/>
        <v>0</v>
      </c>
      <c r="K336" s="41">
        <f t="shared" si="19"/>
        <v>4316.7700000000004</v>
      </c>
      <c r="L336" s="41">
        <f t="shared" si="18"/>
        <v>68612.010000000009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1142958.9200000002</v>
      </c>
      <c r="G337" s="41">
        <f t="shared" si="20"/>
        <v>265639.33999999997</v>
      </c>
      <c r="H337" s="41">
        <f t="shared" si="20"/>
        <v>394624.42</v>
      </c>
      <c r="I337" s="41">
        <f t="shared" si="20"/>
        <v>199110.05</v>
      </c>
      <c r="J337" s="41">
        <f t="shared" si="20"/>
        <v>69806.78</v>
      </c>
      <c r="K337" s="41">
        <f t="shared" si="20"/>
        <v>53741.770000000004</v>
      </c>
      <c r="L337" s="41">
        <f t="shared" si="20"/>
        <v>2125881.2800000003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1142958.9200000002</v>
      </c>
      <c r="G351" s="41">
        <f>G337</f>
        <v>265639.33999999997</v>
      </c>
      <c r="H351" s="41">
        <f>H337</f>
        <v>394624.42</v>
      </c>
      <c r="I351" s="41">
        <f>I337</f>
        <v>199110.05</v>
      </c>
      <c r="J351" s="41">
        <f>J337</f>
        <v>69806.78</v>
      </c>
      <c r="K351" s="47">
        <f>K337+K350</f>
        <v>53741.770000000004</v>
      </c>
      <c r="L351" s="41">
        <f>L337+L350</f>
        <v>2125881.2800000003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184683.96+47942.23</f>
        <v>232626.19</v>
      </c>
      <c r="G357" s="18">
        <f>88487.97+19230.84</f>
        <v>107718.81</v>
      </c>
      <c r="H357" s="18">
        <f>5425.42+3073.48</f>
        <v>8498.9</v>
      </c>
      <c r="I357" s="18">
        <f>16980.93+138501.25+1750.56+1040.45</f>
        <v>158273.19</v>
      </c>
      <c r="J357" s="18">
        <f>2755.57+1692.24</f>
        <v>4447.8100000000004</v>
      </c>
      <c r="K357" s="18">
        <f>575.05+1129.46</f>
        <v>1704.51</v>
      </c>
      <c r="L357" s="13">
        <f>SUM(F357:K357)</f>
        <v>513269.41000000003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80192.83+26280.07</f>
        <v>106472.9</v>
      </c>
      <c r="G358" s="18">
        <f>29051.1+10541.6</f>
        <v>39592.699999999997</v>
      </c>
      <c r="H358" s="18">
        <f>1113.07+1684.76</f>
        <v>2797.83</v>
      </c>
      <c r="I358" s="18">
        <f>8858.04+101747.77+959.59+570.33</f>
        <v>112135.73</v>
      </c>
      <c r="J358" s="18">
        <f>1708.78+927.62</f>
        <v>2636.4</v>
      </c>
      <c r="K358" s="18">
        <f>250.04+619.13</f>
        <v>869.17</v>
      </c>
      <c r="L358" s="19">
        <f>SUM(F358:K358)</f>
        <v>264504.73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89954.78+38790.38</f>
        <v>128745.16</v>
      </c>
      <c r="G359" s="18">
        <f>39921.28+15559.81</f>
        <v>55481.09</v>
      </c>
      <c r="H359" s="18">
        <f>3956.5+2486.77</f>
        <v>6443.27</v>
      </c>
      <c r="I359" s="18">
        <f>9497.91+1416.39+841.84+148916.45</f>
        <v>160672.59000000003</v>
      </c>
      <c r="J359" s="18">
        <f>449+1369.21</f>
        <v>1818.21</v>
      </c>
      <c r="K359" s="18">
        <f>33+913.86</f>
        <v>946.86</v>
      </c>
      <c r="L359" s="19">
        <f>SUM(F359:K359)</f>
        <v>354107.18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467844.25</v>
      </c>
      <c r="G361" s="47">
        <f t="shared" si="22"/>
        <v>202792.6</v>
      </c>
      <c r="H361" s="47">
        <f t="shared" si="22"/>
        <v>17740</v>
      </c>
      <c r="I361" s="47">
        <f t="shared" si="22"/>
        <v>431081.51</v>
      </c>
      <c r="J361" s="47">
        <f t="shared" si="22"/>
        <v>8902.4200000000019</v>
      </c>
      <c r="K361" s="47">
        <f t="shared" si="22"/>
        <v>3520.54</v>
      </c>
      <c r="L361" s="47">
        <f t="shared" si="22"/>
        <v>1131881.32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138501.25+1040.45</f>
        <v>139541.70000000001</v>
      </c>
      <c r="G366" s="18">
        <f>570.33+101747.77</f>
        <v>102318.1</v>
      </c>
      <c r="H366" s="18">
        <f>841.84+148916.45</f>
        <v>149758.29</v>
      </c>
      <c r="I366" s="56">
        <f>SUM(F366:H366)</f>
        <v>391618.09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1750.56+16980.93</f>
        <v>18731.490000000002</v>
      </c>
      <c r="G367" s="63">
        <f>959.59+8858.04</f>
        <v>9817.630000000001</v>
      </c>
      <c r="H367" s="63">
        <f>1416.39+9497.91</f>
        <v>10914.3</v>
      </c>
      <c r="I367" s="56">
        <f>SUM(F367:H367)</f>
        <v>39463.42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158273.19</v>
      </c>
      <c r="G368" s="47">
        <f>SUM(G366:G367)</f>
        <v>112135.73000000001</v>
      </c>
      <c r="H368" s="47">
        <f>SUM(H366:H367)</f>
        <v>160672.59</v>
      </c>
      <c r="I368" s="47">
        <f>SUM(I366:I367)</f>
        <v>431081.51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f>2689.33+1.47+686.31</f>
        <v>3377.1099999999997</v>
      </c>
      <c r="I388" s="18"/>
      <c r="J388" s="24" t="s">
        <v>289</v>
      </c>
      <c r="K388" s="24" t="s">
        <v>289</v>
      </c>
      <c r="L388" s="56">
        <f t="shared" si="25"/>
        <v>3377.1099999999997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>
        <v>158926.29</v>
      </c>
      <c r="J391" s="24" t="s">
        <v>289</v>
      </c>
      <c r="K391" s="24" t="s">
        <v>289</v>
      </c>
      <c r="L391" s="56">
        <f t="shared" si="25"/>
        <v>158926.29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3377.1099999999997</v>
      </c>
      <c r="I392" s="65">
        <f>SUM(I386:I391)</f>
        <v>158926.29</v>
      </c>
      <c r="J392" s="45" t="s">
        <v>289</v>
      </c>
      <c r="K392" s="45" t="s">
        <v>289</v>
      </c>
      <c r="L392" s="47">
        <f>SUM(L386:L391)</f>
        <v>162303.4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776.84</v>
      </c>
      <c r="I396" s="18"/>
      <c r="J396" s="24" t="s">
        <v>289</v>
      </c>
      <c r="K396" s="24" t="s">
        <v>289</v>
      </c>
      <c r="L396" s="56">
        <f t="shared" si="26"/>
        <v>776.84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4.76</v>
      </c>
      <c r="I399" s="18"/>
      <c r="J399" s="24" t="s">
        <v>289</v>
      </c>
      <c r="K399" s="24" t="s">
        <v>289</v>
      </c>
      <c r="L399" s="56">
        <f t="shared" si="26"/>
        <v>4.76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781.6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781.6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4158.71</v>
      </c>
      <c r="I407" s="47">
        <f>I392+I400+I406</f>
        <v>158926.29</v>
      </c>
      <c r="J407" s="24" t="s">
        <v>289</v>
      </c>
      <c r="K407" s="24" t="s">
        <v>289</v>
      </c>
      <c r="L407" s="47">
        <f>L392+L400+L406</f>
        <v>163085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>
        <v>3546</v>
      </c>
      <c r="I431" s="18"/>
      <c r="J431" s="18">
        <f>48266+21800+77814.29</f>
        <v>147880.28999999998</v>
      </c>
      <c r="K431" s="18">
        <v>7500</v>
      </c>
      <c r="L431" s="56">
        <f>SUM(F431:K431)</f>
        <v>158926.28999999998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3546</v>
      </c>
      <c r="I432" s="47">
        <f t="shared" si="31"/>
        <v>0</v>
      </c>
      <c r="J432" s="47">
        <f t="shared" si="31"/>
        <v>147880.28999999998</v>
      </c>
      <c r="K432" s="47">
        <f t="shared" si="31"/>
        <v>7500</v>
      </c>
      <c r="L432" s="47">
        <f t="shared" si="31"/>
        <v>158926.28999999998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3546</v>
      </c>
      <c r="I433" s="47">
        <f t="shared" si="32"/>
        <v>0</v>
      </c>
      <c r="J433" s="47">
        <f t="shared" si="32"/>
        <v>147880.28999999998</v>
      </c>
      <c r="K433" s="47">
        <f t="shared" si="32"/>
        <v>7500</v>
      </c>
      <c r="L433" s="47">
        <f t="shared" si="32"/>
        <v>158926.28999999998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441239.5</v>
      </c>
      <c r="G438" s="18">
        <f>1.13+942.05+112601.86+127456.91</f>
        <v>241001.95</v>
      </c>
      <c r="H438" s="18">
        <v>781.65</v>
      </c>
      <c r="I438" s="56">
        <f t="shared" ref="I438:I444" si="33">SUM(F438:H438)</f>
        <v>683023.1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>
        <v>56459.6</v>
      </c>
      <c r="H440" s="18"/>
      <c r="I440" s="56">
        <f t="shared" si="33"/>
        <v>56459.6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441239.5</v>
      </c>
      <c r="G445" s="13">
        <f>SUM(G438:G444)</f>
        <v>297461.55</v>
      </c>
      <c r="H445" s="13">
        <f>SUM(H438:H444)</f>
        <v>781.65</v>
      </c>
      <c r="I445" s="13">
        <f>SUM(I438:I444)</f>
        <v>739482.7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v>55064.67</v>
      </c>
      <c r="H447" s="18"/>
      <c r="I447" s="56">
        <f>SUM(F447:H447)</f>
        <v>55064.67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55064.67</v>
      </c>
      <c r="H451" s="72">
        <f>SUM(H447:H450)</f>
        <v>0</v>
      </c>
      <c r="I451" s="72">
        <f>SUM(I447:I450)</f>
        <v>55064.67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441239.5</v>
      </c>
      <c r="G458" s="18">
        <v>242396.88</v>
      </c>
      <c r="H458" s="18">
        <v>781.65</v>
      </c>
      <c r="I458" s="56">
        <f t="shared" si="34"/>
        <v>684418.03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441239.5</v>
      </c>
      <c r="G459" s="83">
        <f>SUM(G453:G458)</f>
        <v>242396.88</v>
      </c>
      <c r="H459" s="83">
        <f>SUM(H453:H458)</f>
        <v>781.65</v>
      </c>
      <c r="I459" s="83">
        <f>SUM(I453:I458)</f>
        <v>684418.03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441239.5</v>
      </c>
      <c r="G460" s="42">
        <f>G451+G459</f>
        <v>297461.55</v>
      </c>
      <c r="H460" s="42">
        <f>H451+H459</f>
        <v>781.65</v>
      </c>
      <c r="I460" s="42">
        <f>I451+I459</f>
        <v>739482.70000000007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432965</v>
      </c>
      <c r="G464" s="18">
        <f>201333.87+0.03</f>
        <v>201333.9</v>
      </c>
      <c r="H464" s="18">
        <v>272252.96999999997</v>
      </c>
      <c r="I464" s="18"/>
      <c r="J464" s="18">
        <v>680259.32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42621852.039999999</v>
      </c>
      <c r="G467" s="18">
        <v>1161542.55</v>
      </c>
      <c r="H467" s="18">
        <f>96677.32+1901062.15+120373.72</f>
        <v>2118113.19</v>
      </c>
      <c r="I467" s="18"/>
      <c r="J467" s="18">
        <f>158926.29+4158.71</f>
        <v>163085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42621852.039999999</v>
      </c>
      <c r="G469" s="53">
        <f>SUM(G467:G468)</f>
        <v>1161542.55</v>
      </c>
      <c r="H469" s="53">
        <f>SUM(H467:H468)</f>
        <v>2118113.19</v>
      </c>
      <c r="I469" s="53">
        <f>SUM(I467:I468)</f>
        <v>0</v>
      </c>
      <c r="J469" s="53">
        <f>SUM(J467:J468)</f>
        <v>163085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42254382.149999999</v>
      </c>
      <c r="G471" s="18">
        <f>628197.93+570492.41-66809.02</f>
        <v>1131881.32</v>
      </c>
      <c r="H471" s="18">
        <f>127427.6+1901062.15+13738.86+83652.67</f>
        <v>2125881.2800000003</v>
      </c>
      <c r="I471" s="18"/>
      <c r="J471" s="18">
        <f>158926.29</f>
        <v>158926.29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42254382.149999999</v>
      </c>
      <c r="G473" s="53">
        <f>SUM(G471:G472)</f>
        <v>1131881.32</v>
      </c>
      <c r="H473" s="53">
        <f>SUM(H471:H472)</f>
        <v>2125881.2800000003</v>
      </c>
      <c r="I473" s="53">
        <f>SUM(I471:I472)</f>
        <v>0</v>
      </c>
      <c r="J473" s="53">
        <f>SUM(J471:J472)</f>
        <v>158926.29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800434.8900000006</v>
      </c>
      <c r="G475" s="53">
        <f>(G464+G469)- G473</f>
        <v>230995.12999999989</v>
      </c>
      <c r="H475" s="53">
        <f>(H464+H469)- H473</f>
        <v>264484.87999999989</v>
      </c>
      <c r="I475" s="53">
        <f>(I464+I469)- I473</f>
        <v>0</v>
      </c>
      <c r="J475" s="53">
        <f>(J464+J469)- J473</f>
        <v>684418.02999999991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12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8220000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2.7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7200000</v>
      </c>
      <c r="G494" s="18"/>
      <c r="H494" s="18"/>
      <c r="I494" s="18"/>
      <c r="J494" s="18"/>
      <c r="K494" s="53">
        <f>SUM(F494:J494)</f>
        <v>7200000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f>K259</f>
        <v>1095332.78</v>
      </c>
      <c r="G496" s="18"/>
      <c r="H496" s="18"/>
      <c r="I496" s="18"/>
      <c r="J496" s="18"/>
      <c r="K496" s="53">
        <f t="shared" si="35"/>
        <v>1095332.78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631000</v>
      </c>
      <c r="G497" s="204"/>
      <c r="H497" s="204"/>
      <c r="I497" s="204"/>
      <c r="J497" s="204"/>
      <c r="K497" s="205">
        <f t="shared" si="35"/>
        <v>631000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807715.68</v>
      </c>
      <c r="G498" s="18"/>
      <c r="H498" s="18"/>
      <c r="I498" s="18"/>
      <c r="J498" s="18"/>
      <c r="K498" s="53">
        <f t="shared" si="35"/>
        <v>807715.68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1438715.6800000002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1438715.6800000002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870000</v>
      </c>
      <c r="G500" s="204"/>
      <c r="H500" s="204"/>
      <c r="I500" s="204"/>
      <c r="J500" s="204"/>
      <c r="K500" s="205">
        <f t="shared" si="35"/>
        <v>870000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175693.76</v>
      </c>
      <c r="G501" s="18"/>
      <c r="H501" s="18"/>
      <c r="I501" s="18"/>
      <c r="J501" s="18"/>
      <c r="K501" s="53">
        <f t="shared" si="35"/>
        <v>175693.76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1045693.76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1045693.76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2155468.7799999998</v>
      </c>
      <c r="G506" s="144">
        <v>2331098.4700000002</v>
      </c>
      <c r="H506" s="144">
        <v>-2155468.7799999998</v>
      </c>
      <c r="I506" s="144">
        <v>2331098.4700000002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275">
        <v>1343702.7</v>
      </c>
      <c r="G520" s="275">
        <v>574802.59</v>
      </c>
      <c r="H520" s="275">
        <v>550087.87</v>
      </c>
      <c r="I520" s="275">
        <v>13210.449999999999</v>
      </c>
      <c r="J520" s="275">
        <v>14799.89</v>
      </c>
      <c r="K520" s="275">
        <v>10440.91</v>
      </c>
      <c r="L520" s="88">
        <f>SUM(F520:K520)</f>
        <v>2507044.4100000006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275">
        <v>1427638.6800000002</v>
      </c>
      <c r="G521" s="275">
        <v>427450.02</v>
      </c>
      <c r="H521" s="275">
        <v>263073.23</v>
      </c>
      <c r="I521" s="275">
        <v>11415.21</v>
      </c>
      <c r="J521" s="275">
        <v>22505.439999999999</v>
      </c>
      <c r="K521" s="275">
        <v>4897.08</v>
      </c>
      <c r="L521" s="88">
        <f>SUM(F521:K521)</f>
        <v>2156979.66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275">
        <v>1479193.87</v>
      </c>
      <c r="G522" s="275">
        <v>525875.86</v>
      </c>
      <c r="H522" s="275">
        <v>449005.29000000004</v>
      </c>
      <c r="I522" s="275">
        <v>7664.1399999999994</v>
      </c>
      <c r="J522" s="275">
        <v>5620.72</v>
      </c>
      <c r="K522" s="275">
        <v>8592.99</v>
      </c>
      <c r="L522" s="88">
        <f>SUM(F522:K522)</f>
        <v>2475952.8700000006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4250535.25</v>
      </c>
      <c r="G523" s="108">
        <f t="shared" ref="G523:L523" si="36">SUM(G520:G522)</f>
        <v>1528128.47</v>
      </c>
      <c r="H523" s="108">
        <f t="shared" si="36"/>
        <v>1262166.3900000001</v>
      </c>
      <c r="I523" s="108">
        <f t="shared" si="36"/>
        <v>32289.799999999996</v>
      </c>
      <c r="J523" s="108">
        <f t="shared" si="36"/>
        <v>42926.05</v>
      </c>
      <c r="K523" s="108">
        <f t="shared" si="36"/>
        <v>23930.98</v>
      </c>
      <c r="L523" s="89">
        <f t="shared" si="36"/>
        <v>7139976.9400000013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276">
        <v>408415.57</v>
      </c>
      <c r="G525" s="276">
        <v>186288.14</v>
      </c>
      <c r="H525" s="276">
        <v>104430.23</v>
      </c>
      <c r="I525" s="276">
        <v>10281.23</v>
      </c>
      <c r="J525" s="276">
        <v>257.24</v>
      </c>
      <c r="K525" s="276">
        <v>109.07</v>
      </c>
      <c r="L525" s="88">
        <f>SUM(F525:K525)</f>
        <v>709781.47999999986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276">
        <v>241299.47999999998</v>
      </c>
      <c r="G526" s="276">
        <v>137337.68</v>
      </c>
      <c r="H526" s="276">
        <v>48980.55</v>
      </c>
      <c r="I526" s="276">
        <v>2408.7000000000003</v>
      </c>
      <c r="J526" s="276">
        <v>80.02</v>
      </c>
      <c r="K526" s="276">
        <v>51.15</v>
      </c>
      <c r="L526" s="88">
        <f>SUM(F526:K526)</f>
        <v>430157.58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276">
        <v>299926.48</v>
      </c>
      <c r="G527" s="276">
        <v>142465.85</v>
      </c>
      <c r="H527" s="276">
        <v>85947.01</v>
      </c>
      <c r="I527" s="276">
        <v>2430.06</v>
      </c>
      <c r="J527" s="276">
        <v>140.4</v>
      </c>
      <c r="K527" s="276">
        <v>89.77</v>
      </c>
      <c r="L527" s="88">
        <f>SUM(F527:K527)</f>
        <v>530999.57000000007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949641.53</v>
      </c>
      <c r="G528" s="89">
        <f t="shared" ref="G528:L528" si="37">SUM(G525:G527)</f>
        <v>466091.67000000004</v>
      </c>
      <c r="H528" s="89">
        <f t="shared" si="37"/>
        <v>239357.78999999998</v>
      </c>
      <c r="I528" s="89">
        <f t="shared" si="37"/>
        <v>15119.99</v>
      </c>
      <c r="J528" s="89">
        <f t="shared" si="37"/>
        <v>477.65999999999997</v>
      </c>
      <c r="K528" s="89">
        <f t="shared" si="37"/>
        <v>249.99</v>
      </c>
      <c r="L528" s="89">
        <f t="shared" si="37"/>
        <v>1670938.63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277">
        <v>70735.91</v>
      </c>
      <c r="G530" s="277">
        <v>25210.77</v>
      </c>
      <c r="H530" s="277">
        <v>1019.05</v>
      </c>
      <c r="I530" s="277">
        <v>1344.06</v>
      </c>
      <c r="J530" s="277">
        <v>0</v>
      </c>
      <c r="K530" s="277">
        <v>455.93</v>
      </c>
      <c r="L530" s="88">
        <f>SUM(F530:K530)</f>
        <v>98765.72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277">
        <v>33177.019999999997</v>
      </c>
      <c r="G531" s="277">
        <v>11824.52</v>
      </c>
      <c r="H531" s="277">
        <v>477.96</v>
      </c>
      <c r="I531" s="277">
        <v>630.4</v>
      </c>
      <c r="J531" s="277">
        <v>0</v>
      </c>
      <c r="K531" s="277">
        <v>213.84</v>
      </c>
      <c r="L531" s="88">
        <f>SUM(F531:K531)</f>
        <v>46323.739999999991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277">
        <v>58216.28</v>
      </c>
      <c r="G532" s="277">
        <v>20748.68</v>
      </c>
      <c r="H532" s="277">
        <v>838.68</v>
      </c>
      <c r="I532" s="277">
        <v>1106.17</v>
      </c>
      <c r="J532" s="277">
        <v>0</v>
      </c>
      <c r="K532" s="277">
        <v>375.23</v>
      </c>
      <c r="L532" s="88">
        <f>SUM(F532:K532)</f>
        <v>81285.039999999979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162129.21</v>
      </c>
      <c r="G533" s="89">
        <f t="shared" ref="G533:L533" si="38">SUM(G530:G532)</f>
        <v>57783.97</v>
      </c>
      <c r="H533" s="89">
        <f t="shared" si="38"/>
        <v>2335.69</v>
      </c>
      <c r="I533" s="89">
        <f t="shared" si="38"/>
        <v>3080.63</v>
      </c>
      <c r="J533" s="89">
        <f t="shared" si="38"/>
        <v>0</v>
      </c>
      <c r="K533" s="89">
        <f t="shared" si="38"/>
        <v>1045</v>
      </c>
      <c r="L533" s="89">
        <f t="shared" si="38"/>
        <v>226374.49999999997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4150.4399999999996</v>
      </c>
      <c r="I535" s="18"/>
      <c r="J535" s="18"/>
      <c r="K535" s="18"/>
      <c r="L535" s="88">
        <f>SUM(F535:K535)</f>
        <v>4150.4399999999996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1946.67</v>
      </c>
      <c r="I536" s="18"/>
      <c r="J536" s="18"/>
      <c r="K536" s="18"/>
      <c r="L536" s="88">
        <f>SUM(F536:K536)</f>
        <v>1946.67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3415.85</v>
      </c>
      <c r="I537" s="18"/>
      <c r="J537" s="18"/>
      <c r="K537" s="18"/>
      <c r="L537" s="88">
        <f>SUM(F537:K537)</f>
        <v>3415.85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9512.9599999999991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9512.9599999999991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238846.62</v>
      </c>
      <c r="I540" s="18"/>
      <c r="J540" s="18"/>
      <c r="K540" s="18"/>
      <c r="L540" s="88">
        <f>SUM(F540:K540)</f>
        <v>238846.62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112025.41</v>
      </c>
      <c r="I541" s="18"/>
      <c r="J541" s="18"/>
      <c r="K541" s="18"/>
      <c r="L541" s="88">
        <f>SUM(F541:K541)</f>
        <v>112025.41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196572.88</v>
      </c>
      <c r="I542" s="18"/>
      <c r="J542" s="18"/>
      <c r="K542" s="18"/>
      <c r="L542" s="88">
        <f>SUM(F542:K542)</f>
        <v>196572.88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547444.91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547444.91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5362305.99</v>
      </c>
      <c r="G544" s="89">
        <f t="shared" ref="G544:L544" si="41">G523+G528+G533+G538+G543</f>
        <v>2052004.11</v>
      </c>
      <c r="H544" s="89">
        <f t="shared" si="41"/>
        <v>2060817.7400000002</v>
      </c>
      <c r="I544" s="89">
        <f t="shared" si="41"/>
        <v>50490.419999999991</v>
      </c>
      <c r="J544" s="89">
        <f t="shared" si="41"/>
        <v>43403.710000000006</v>
      </c>
      <c r="K544" s="89">
        <f t="shared" si="41"/>
        <v>25225.97</v>
      </c>
      <c r="L544" s="89">
        <f t="shared" si="41"/>
        <v>9594247.9400000013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2507044.4100000006</v>
      </c>
      <c r="G548" s="87">
        <f>L525</f>
        <v>709781.47999999986</v>
      </c>
      <c r="H548" s="87">
        <f>L530</f>
        <v>98765.72</v>
      </c>
      <c r="I548" s="87">
        <f>L535</f>
        <v>4150.4399999999996</v>
      </c>
      <c r="J548" s="87">
        <f>L540</f>
        <v>238846.62</v>
      </c>
      <c r="K548" s="87">
        <f>SUM(F548:J548)</f>
        <v>3558588.6700000009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2156979.66</v>
      </c>
      <c r="G549" s="87">
        <f>L526</f>
        <v>430157.58</v>
      </c>
      <c r="H549" s="87">
        <f>L531</f>
        <v>46323.739999999991</v>
      </c>
      <c r="I549" s="87">
        <f>L536</f>
        <v>1946.67</v>
      </c>
      <c r="J549" s="87">
        <f>L541</f>
        <v>112025.41</v>
      </c>
      <c r="K549" s="87">
        <f>SUM(F549:J549)</f>
        <v>2747433.0600000005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2475952.8700000006</v>
      </c>
      <c r="G550" s="87">
        <f>L527</f>
        <v>530999.57000000007</v>
      </c>
      <c r="H550" s="87">
        <f>L532</f>
        <v>81285.039999999979</v>
      </c>
      <c r="I550" s="87">
        <f>L537</f>
        <v>3415.85</v>
      </c>
      <c r="J550" s="87">
        <f>L542</f>
        <v>196572.88</v>
      </c>
      <c r="K550" s="87">
        <f>SUM(F550:J550)</f>
        <v>3288226.2100000004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7139976.9400000013</v>
      </c>
      <c r="G551" s="89">
        <f t="shared" si="42"/>
        <v>1670938.63</v>
      </c>
      <c r="H551" s="89">
        <f t="shared" si="42"/>
        <v>226374.49999999997</v>
      </c>
      <c r="I551" s="89">
        <f t="shared" si="42"/>
        <v>9512.9599999999991</v>
      </c>
      <c r="J551" s="89">
        <f t="shared" si="42"/>
        <v>547444.91</v>
      </c>
      <c r="K551" s="89">
        <f t="shared" si="42"/>
        <v>9594247.9400000013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130592.64</v>
      </c>
      <c r="G561" s="18">
        <v>68920.05</v>
      </c>
      <c r="H561" s="18">
        <v>1811</v>
      </c>
      <c r="I561" s="18">
        <v>3426.97</v>
      </c>
      <c r="J561" s="18">
        <v>3426.97</v>
      </c>
      <c r="K561" s="18">
        <v>161.19999999999999</v>
      </c>
      <c r="L561" s="88">
        <f>SUM(F561:K561)</f>
        <v>208338.83000000002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59443.32</v>
      </c>
      <c r="G562" s="18">
        <v>12541</v>
      </c>
      <c r="H562" s="18">
        <v>992.72</v>
      </c>
      <c r="I562" s="18">
        <v>1378.77</v>
      </c>
      <c r="J562" s="18">
        <v>1278.77</v>
      </c>
      <c r="K562" s="18">
        <v>88.37</v>
      </c>
      <c r="L562" s="88">
        <f>SUM(F562:K562)</f>
        <v>75722.950000000012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21314.47</v>
      </c>
      <c r="G563" s="18">
        <v>4459.55</v>
      </c>
      <c r="H563" s="18">
        <v>1465.29</v>
      </c>
      <c r="I563" s="18">
        <v>1026.93</v>
      </c>
      <c r="J563" s="18">
        <v>1026.93</v>
      </c>
      <c r="K563" s="18">
        <v>130.43</v>
      </c>
      <c r="L563" s="88">
        <f>SUM(F563:K563)</f>
        <v>29423.600000000002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211350.43</v>
      </c>
      <c r="G564" s="89">
        <f t="shared" si="44"/>
        <v>85920.6</v>
      </c>
      <c r="H564" s="89">
        <f t="shared" si="44"/>
        <v>4269.01</v>
      </c>
      <c r="I564" s="89">
        <f t="shared" si="44"/>
        <v>5832.67</v>
      </c>
      <c r="J564" s="89">
        <f t="shared" si="44"/>
        <v>5732.67</v>
      </c>
      <c r="K564" s="89">
        <f t="shared" si="44"/>
        <v>380</v>
      </c>
      <c r="L564" s="89">
        <f t="shared" si="44"/>
        <v>313485.38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211350.43</v>
      </c>
      <c r="G570" s="89">
        <f t="shared" ref="G570:L570" si="46">G559+G564+G569</f>
        <v>85920.6</v>
      </c>
      <c r="H570" s="89">
        <f t="shared" si="46"/>
        <v>4269.01</v>
      </c>
      <c r="I570" s="89">
        <f t="shared" si="46"/>
        <v>5832.67</v>
      </c>
      <c r="J570" s="89">
        <f t="shared" si="46"/>
        <v>5732.67</v>
      </c>
      <c r="K570" s="89">
        <f t="shared" si="46"/>
        <v>380</v>
      </c>
      <c r="L570" s="89">
        <f t="shared" si="46"/>
        <v>313485.38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11432.95</v>
      </c>
      <c r="G578" s="18">
        <v>5362.36</v>
      </c>
      <c r="H578" s="18">
        <v>9409.42</v>
      </c>
      <c r="I578" s="87">
        <f t="shared" si="47"/>
        <v>26204.730000000003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412088.31</v>
      </c>
      <c r="G581" s="18">
        <v>193280.36</v>
      </c>
      <c r="H581" s="18">
        <v>339152.32</v>
      </c>
      <c r="I581" s="87">
        <f t="shared" si="47"/>
        <v>944520.99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23488.06</v>
      </c>
      <c r="I583" s="87">
        <f t="shared" si="47"/>
        <v>23488.06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480912.36</v>
      </c>
      <c r="I590" s="18">
        <v>263617.46000000002</v>
      </c>
      <c r="J590" s="18">
        <v>389109.47</v>
      </c>
      <c r="K590" s="104">
        <f t="shared" ref="K590:K596" si="48">SUM(H590:J590)</f>
        <v>1133639.29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238846.62</v>
      </c>
      <c r="I591" s="18">
        <v>112025.41</v>
      </c>
      <c r="J591" s="18">
        <v>196572.88</v>
      </c>
      <c r="K591" s="104">
        <f t="shared" si="48"/>
        <v>547444.91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f>838.35+7700+214.63+1200+836.98+1600</f>
        <v>12389.96</v>
      </c>
      <c r="K592" s="104">
        <f t="shared" si="48"/>
        <v>12389.96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6264.51</v>
      </c>
      <c r="J593" s="18">
        <v>55898.44</v>
      </c>
      <c r="K593" s="104">
        <f t="shared" si="48"/>
        <v>62162.950000000004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278.85+790.43+757.35</f>
        <v>1826.63</v>
      </c>
      <c r="I594" s="18"/>
      <c r="J594" s="18"/>
      <c r="K594" s="104">
        <f t="shared" si="48"/>
        <v>1826.63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>
        <v>6974.96</v>
      </c>
      <c r="K595" s="104">
        <f t="shared" si="48"/>
        <v>6974.96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721585.61</v>
      </c>
      <c r="I597" s="108">
        <f>SUM(I590:I596)</f>
        <v>381907.38</v>
      </c>
      <c r="J597" s="108">
        <f>SUM(J590:J596)</f>
        <v>660945.71</v>
      </c>
      <c r="K597" s="108">
        <f>SUM(K590:K596)</f>
        <v>1764438.7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130558.56+9906.5</f>
        <v>140465.06</v>
      </c>
      <c r="I603" s="18">
        <f>129892.54+5488.02</f>
        <v>135380.56</v>
      </c>
      <c r="J603" s="18">
        <f>119170.02+54412.26</f>
        <v>173582.28</v>
      </c>
      <c r="K603" s="104">
        <f>SUM(H603:J603)</f>
        <v>449427.9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140465.06</v>
      </c>
      <c r="I604" s="108">
        <f>SUM(I601:I603)</f>
        <v>135380.56</v>
      </c>
      <c r="J604" s="108">
        <f>SUM(J601:J603)</f>
        <v>173582.28</v>
      </c>
      <c r="K604" s="108">
        <f>SUM(K601:K603)</f>
        <v>449427.9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2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274">
        <v>27297.3</v>
      </c>
      <c r="G610" s="18">
        <v>5264.18</v>
      </c>
      <c r="H610" s="18"/>
      <c r="I610" s="18"/>
      <c r="J610" s="18"/>
      <c r="K610" s="18"/>
      <c r="L610" s="88">
        <f>SUM(F610:K610)</f>
        <v>32561.48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12803.16</v>
      </c>
      <c r="G611" s="18">
        <v>2469.04</v>
      </c>
      <c r="H611" s="18"/>
      <c r="I611" s="18"/>
      <c r="J611" s="18"/>
      <c r="K611" s="18"/>
      <c r="L611" s="88">
        <f>SUM(F611:K611)</f>
        <v>15272.2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22465.919999999998</v>
      </c>
      <c r="G612" s="18">
        <v>4332.46</v>
      </c>
      <c r="H612" s="18"/>
      <c r="I612" s="18"/>
      <c r="J612" s="18"/>
      <c r="K612" s="18"/>
      <c r="L612" s="88">
        <f>SUM(F612:K612)</f>
        <v>26798.379999999997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62566.38</v>
      </c>
      <c r="G613" s="108">
        <f t="shared" si="49"/>
        <v>12065.68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74632.06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2082113.85</v>
      </c>
      <c r="H616" s="109">
        <f>SUM(F51)</f>
        <v>2082113.85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254359.65</v>
      </c>
      <c r="H617" s="109">
        <f>SUM(G51)</f>
        <v>254359.65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545170.6</v>
      </c>
      <c r="H618" s="109">
        <f>SUM(H51)</f>
        <v>545170.6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739482.7</v>
      </c>
      <c r="H620" s="109">
        <f>SUM(J51)</f>
        <v>739482.70000000007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800434.89</v>
      </c>
      <c r="H621" s="109">
        <f>F475</f>
        <v>800434.8900000006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230995.13</v>
      </c>
      <c r="H622" s="109">
        <f>G475</f>
        <v>230995.12999999989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264484.88</v>
      </c>
      <c r="H623" s="109">
        <f>H475</f>
        <v>264484.87999999989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684418.03</v>
      </c>
      <c r="H625" s="109">
        <f>J475</f>
        <v>684418.02999999991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42621852.039999999</v>
      </c>
      <c r="H626" s="104">
        <f>SUM(F467)</f>
        <v>42621852.039999999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1161542.5500000003</v>
      </c>
      <c r="H627" s="104">
        <f>SUM(G467)</f>
        <v>1161542.55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2118113.19</v>
      </c>
      <c r="H628" s="104">
        <f>SUM(H467)</f>
        <v>2118113.19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163085</v>
      </c>
      <c r="H630" s="104">
        <f>SUM(J467)</f>
        <v>163085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42254382.149999999</v>
      </c>
      <c r="H631" s="104">
        <f>SUM(F471)</f>
        <v>42254382.149999999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2125881.2800000003</v>
      </c>
      <c r="H632" s="104">
        <f>SUM(H471)</f>
        <v>2125881.2800000003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431081.51</v>
      </c>
      <c r="H633" s="104">
        <f>I368</f>
        <v>431081.51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1131881.32</v>
      </c>
      <c r="H634" s="104">
        <f>SUM(G471)</f>
        <v>1131881.32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163085</v>
      </c>
      <c r="H636" s="164">
        <f>SUM(J467)</f>
        <v>163085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158926.28999999998</v>
      </c>
      <c r="H637" s="164">
        <f>SUM(J471)</f>
        <v>158926.29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441239.5</v>
      </c>
      <c r="H638" s="104">
        <f>SUM(F460)</f>
        <v>441239.5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297461.55</v>
      </c>
      <c r="H639" s="104">
        <f>SUM(G460)</f>
        <v>297461.55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781.65</v>
      </c>
      <c r="H640" s="104">
        <f>SUM(H460)</f>
        <v>781.65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739482.7</v>
      </c>
      <c r="H641" s="104">
        <f>SUM(I460)</f>
        <v>739482.70000000007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4158.71</v>
      </c>
      <c r="H643" s="104">
        <f>H407</f>
        <v>4158.71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163085</v>
      </c>
      <c r="H645" s="104">
        <f>L407</f>
        <v>163085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1764438.7</v>
      </c>
      <c r="H646" s="104">
        <f>L207+L225+L243</f>
        <v>1764438.7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449427.9</v>
      </c>
      <c r="H647" s="104">
        <f>(J256+J337)-(J254+J335)</f>
        <v>449427.9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721585.61</v>
      </c>
      <c r="H648" s="104">
        <f>H597</f>
        <v>721585.61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381907.38</v>
      </c>
      <c r="H649" s="104">
        <f>I597</f>
        <v>381907.38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660945.71</v>
      </c>
      <c r="H650" s="104">
        <f>J597</f>
        <v>660945.71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17396739.990000002</v>
      </c>
      <c r="G659" s="19">
        <f>(L228+L308+L358)</f>
        <v>10131388.770000001</v>
      </c>
      <c r="H659" s="19">
        <f>(L246+L327+L359)</f>
        <v>16499121.450000001</v>
      </c>
      <c r="I659" s="19">
        <f>SUM(F659:H659)</f>
        <v>44027250.210000008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370007.36367794801</v>
      </c>
      <c r="G660" s="19">
        <f>(L358/IF(SUM(L357:L359)=0,1,SUM(L357:L359))*(SUM(G96:G109)))</f>
        <v>190677.05170204365</v>
      </c>
      <c r="H660" s="19">
        <f>(L359/IF(SUM(L357:L359)=0,1,SUM(L357:L359))*(SUM(G96:G109)))</f>
        <v>255269.96462000842</v>
      </c>
      <c r="I660" s="19">
        <f>SUM(F660:H660)</f>
        <v>815954.38000000012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721585.61</v>
      </c>
      <c r="G661" s="19">
        <f>(L225+L305)-(J225+J305)</f>
        <v>381907.38</v>
      </c>
      <c r="H661" s="19">
        <f>(L243+L324)-(J243+J324)</f>
        <v>660945.71</v>
      </c>
      <c r="I661" s="19">
        <f>SUM(F661:H661)</f>
        <v>1764438.7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596547.80000000005</v>
      </c>
      <c r="G662" s="199">
        <f>SUM(G574:G586)+SUM(I601:I603)+L611</f>
        <v>349295.48</v>
      </c>
      <c r="H662" s="199">
        <f>SUM(H574:H586)+SUM(J601:J603)+L612</f>
        <v>572430.46</v>
      </c>
      <c r="I662" s="19">
        <f>SUM(F662:H662)</f>
        <v>1518273.74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15708599.216322053</v>
      </c>
      <c r="G663" s="19">
        <f>G659-SUM(G660:G662)</f>
        <v>9209508.8582979571</v>
      </c>
      <c r="H663" s="19">
        <f>H659-SUM(H660:H662)</f>
        <v>15010475.315379992</v>
      </c>
      <c r="I663" s="19">
        <f>I659-SUM(I660:I662)</f>
        <v>39928583.390000008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1556.39</v>
      </c>
      <c r="G664" s="248">
        <v>940.58</v>
      </c>
      <c r="H664" s="248">
        <v>1389.29</v>
      </c>
      <c r="I664" s="19">
        <f>SUM(F664:H664)</f>
        <v>3886.26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10092.969999999999</v>
      </c>
      <c r="G666" s="19">
        <f>ROUND(G663/G664,2)</f>
        <v>9791.31</v>
      </c>
      <c r="H666" s="19">
        <f>ROUND(H663/H664,2)</f>
        <v>10804.42</v>
      </c>
      <c r="I666" s="19">
        <f>ROUND(I663/I664,2)</f>
        <v>10274.299999999999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26.79</v>
      </c>
      <c r="I669" s="19">
        <f>SUM(F669:H669)</f>
        <v>26.79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10092.969999999999</v>
      </c>
      <c r="G671" s="19">
        <f>ROUND((G663+G668)/(G664+G669),2)</f>
        <v>9791.31</v>
      </c>
      <c r="H671" s="19">
        <f>ROUND((H663+H668)/(H664+H669),2)</f>
        <v>10600.02</v>
      </c>
      <c r="I671" s="19">
        <f>ROUND((I663+I668)/(I664+I669),2)</f>
        <v>10203.950000000001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5" workbookViewId="0">
      <selection activeCell="B22" sqref="B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HUDSON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81" t="s">
        <v>784</v>
      </c>
      <c r="B3" s="281"/>
      <c r="C3" s="281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80" t="s">
        <v>783</v>
      </c>
      <c r="C6" s="280"/>
    </row>
    <row r="7" spans="1:3" x14ac:dyDescent="0.2">
      <c r="A7" s="239" t="s">
        <v>786</v>
      </c>
      <c r="B7" s="278" t="s">
        <v>782</v>
      </c>
      <c r="C7" s="279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11470946.41</v>
      </c>
      <c r="C9" s="229">
        <f>'DOE25'!G196+'DOE25'!G214+'DOE25'!G232+'DOE25'!G275+'DOE25'!G294+'DOE25'!G313</f>
        <v>5316844.91</v>
      </c>
    </row>
    <row r="10" spans="1:3" x14ac:dyDescent="0.2">
      <c r="A10" t="s">
        <v>779</v>
      </c>
      <c r="B10" s="240">
        <f>9717239.66+310139</f>
        <v>10027378.66</v>
      </c>
      <c r="C10" s="240">
        <f>SUM(B10/$B$9)*$C$9</f>
        <v>4647743.5499642985</v>
      </c>
    </row>
    <row r="11" spans="1:3" x14ac:dyDescent="0.2">
      <c r="A11" t="s">
        <v>780</v>
      </c>
      <c r="B11" s="240">
        <f>73800.77+284116.02</f>
        <v>357916.79000000004</v>
      </c>
      <c r="C11" s="240">
        <f t="shared" ref="C11:C12" si="0">SUM(B11/$B$9)*$C$9</f>
        <v>165896.34325691519</v>
      </c>
    </row>
    <row r="12" spans="1:3" x14ac:dyDescent="0.2">
      <c r="A12" t="s">
        <v>781</v>
      </c>
      <c r="B12" s="240">
        <f>763248.79+206596.73+115805.44</f>
        <v>1085650.96</v>
      </c>
      <c r="C12" s="240">
        <f t="shared" si="0"/>
        <v>503205.01677878672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11470946.41</v>
      </c>
      <c r="C13" s="231">
        <f>SUM(C10:C12)</f>
        <v>5316844.91</v>
      </c>
    </row>
    <row r="14" spans="1:3" x14ac:dyDescent="0.2">
      <c r="B14" s="230"/>
      <c r="C14" s="230"/>
    </row>
    <row r="15" spans="1:3" x14ac:dyDescent="0.2">
      <c r="B15" s="280" t="s">
        <v>783</v>
      </c>
      <c r="C15" s="280"/>
    </row>
    <row r="16" spans="1:3" x14ac:dyDescent="0.2">
      <c r="A16" s="239" t="s">
        <v>787</v>
      </c>
      <c r="B16" s="278" t="s">
        <v>707</v>
      </c>
      <c r="C16" s="279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4250535.25</v>
      </c>
      <c r="C18" s="229">
        <f>'DOE25'!G197+'DOE25'!G215+'DOE25'!G233+'DOE25'!G276+'DOE25'!G295+'DOE25'!G314</f>
        <v>1528128.44</v>
      </c>
    </row>
    <row r="19" spans="1:3" x14ac:dyDescent="0.2">
      <c r="A19" t="s">
        <v>779</v>
      </c>
      <c r="B19" s="240">
        <f>1477908.9+62566.38+197973</f>
        <v>1738448.2799999998</v>
      </c>
      <c r="C19" s="240">
        <f>SUM(B19/$B$18)*$C$18</f>
        <v>624997.11257237138</v>
      </c>
    </row>
    <row r="20" spans="1:3" x14ac:dyDescent="0.2">
      <c r="A20" t="s">
        <v>780</v>
      </c>
      <c r="B20" s="240">
        <f>42323.91+1724289.99+180915.13</f>
        <v>1947529.0299999998</v>
      </c>
      <c r="C20" s="240">
        <f t="shared" ref="C20:C21" si="1">SUM(B20/$B$18)*$C$18</f>
        <v>700164.64361014601</v>
      </c>
    </row>
    <row r="21" spans="1:3" x14ac:dyDescent="0.2">
      <c r="A21" t="s">
        <v>781</v>
      </c>
      <c r="B21" s="240">
        <f>210156+160047+21869.72+168325.21+4160.01</f>
        <v>564557.93999999994</v>
      </c>
      <c r="C21" s="240">
        <f t="shared" si="1"/>
        <v>202966.68381748241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4250535.25</v>
      </c>
      <c r="C22" s="231">
        <f>SUM(C19:C21)</f>
        <v>1528128.4399999997</v>
      </c>
    </row>
    <row r="23" spans="1:3" x14ac:dyDescent="0.2">
      <c r="B23" s="230"/>
      <c r="C23" s="230"/>
    </row>
    <row r="24" spans="1:3" x14ac:dyDescent="0.2">
      <c r="B24" s="280" t="s">
        <v>783</v>
      </c>
      <c r="C24" s="280"/>
    </row>
    <row r="25" spans="1:3" x14ac:dyDescent="0.2">
      <c r="A25" s="239" t="s">
        <v>788</v>
      </c>
      <c r="B25" s="278" t="s">
        <v>708</v>
      </c>
      <c r="C25" s="279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1009140.35</v>
      </c>
      <c r="C27" s="234">
        <f>'DOE25'!G198+'DOE25'!G216+'DOE25'!G234+'DOE25'!G277+'DOE25'!G296+'DOE25'!G315</f>
        <v>455875.88999999996</v>
      </c>
    </row>
    <row r="28" spans="1:3" x14ac:dyDescent="0.2">
      <c r="A28" t="s">
        <v>779</v>
      </c>
      <c r="B28" s="240">
        <f>75345+43570+45270+48455+59089+41886+45584+107136+110000+60950+59089</f>
        <v>696374</v>
      </c>
      <c r="C28" s="240">
        <f>SUM(B28/$B$27)*$C$27</f>
        <v>314584.70273521414</v>
      </c>
    </row>
    <row r="29" spans="1:3" x14ac:dyDescent="0.2">
      <c r="A29" t="s">
        <v>780</v>
      </c>
      <c r="B29" s="240">
        <f>28235.64+27725.64</f>
        <v>55961.279999999999</v>
      </c>
      <c r="C29" s="240">
        <f t="shared" ref="C29:C30" si="2">SUM(B29/$B$27)*$C$27</f>
        <v>25280.327286030333</v>
      </c>
    </row>
    <row r="30" spans="1:3" x14ac:dyDescent="0.2">
      <c r="A30" t="s">
        <v>781</v>
      </c>
      <c r="B30" s="240">
        <f>201564+37589.66+12536.41+5115</f>
        <v>256805.07</v>
      </c>
      <c r="C30" s="240">
        <f t="shared" si="2"/>
        <v>116010.85997875547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1009140.3500000001</v>
      </c>
      <c r="C31" s="231">
        <f>SUM(C28:C30)</f>
        <v>455875.88999999996</v>
      </c>
    </row>
    <row r="33" spans="1:3" x14ac:dyDescent="0.2">
      <c r="B33" s="280" t="s">
        <v>783</v>
      </c>
      <c r="C33" s="280"/>
    </row>
    <row r="34" spans="1:3" x14ac:dyDescent="0.2">
      <c r="A34" s="239" t="s">
        <v>789</v>
      </c>
      <c r="B34" s="278" t="s">
        <v>709</v>
      </c>
      <c r="C34" s="279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308306.14</v>
      </c>
      <c r="C36" s="235">
        <f>'DOE25'!G199+'DOE25'!G217+'DOE25'!G235+'DOE25'!G278+'DOE25'!G297+'DOE25'!G316</f>
        <v>48686.469999999994</v>
      </c>
    </row>
    <row r="37" spans="1:3" x14ac:dyDescent="0.2">
      <c r="A37" t="s">
        <v>779</v>
      </c>
      <c r="B37" s="240">
        <f>308306.14</f>
        <v>308306.14</v>
      </c>
      <c r="C37" s="240">
        <f>SUM(B37/B36*C36)</f>
        <v>48686.469999999994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308306.14</v>
      </c>
      <c r="C40" s="231">
        <f>SUM(C37:C39)</f>
        <v>48686.469999999994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0" t="s">
        <v>790</v>
      </c>
      <c r="B1" s="285"/>
      <c r="C1" s="285"/>
      <c r="D1" s="285"/>
      <c r="E1" s="285"/>
      <c r="F1" s="285"/>
      <c r="G1" s="285"/>
      <c r="H1" s="285"/>
      <c r="I1" s="181"/>
    </row>
    <row r="2" spans="1:9" x14ac:dyDescent="0.2">
      <c r="A2" s="33" t="s">
        <v>717</v>
      </c>
      <c r="B2" s="265" t="str">
        <f>'DOE25'!A2</f>
        <v>HUDSON SCHOOL DISTRICT</v>
      </c>
      <c r="C2" s="181"/>
      <c r="D2" s="181" t="s">
        <v>792</v>
      </c>
      <c r="E2" s="181" t="s">
        <v>794</v>
      </c>
      <c r="F2" s="282" t="s">
        <v>821</v>
      </c>
      <c r="G2" s="283"/>
      <c r="H2" s="284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25625170.160000004</v>
      </c>
      <c r="D5" s="20">
        <f>SUM('DOE25'!L196:L199)+SUM('DOE25'!L214:L217)+SUM('DOE25'!L232:L235)-F5-G5</f>
        <v>25293031.930000003</v>
      </c>
      <c r="E5" s="243"/>
      <c r="F5" s="255">
        <f>SUM('DOE25'!J196:J199)+SUM('DOE25'!J214:J217)+SUM('DOE25'!J232:J235)</f>
        <v>313348.23</v>
      </c>
      <c r="G5" s="53">
        <f>SUM('DOE25'!K196:K199)+SUM('DOE25'!K214:K217)+SUM('DOE25'!K232:K235)</f>
        <v>18790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3711717.71</v>
      </c>
      <c r="D6" s="20">
        <f>'DOE25'!L201+'DOE25'!L219+'DOE25'!L237-F6-G6</f>
        <v>3692903.5399999996</v>
      </c>
      <c r="E6" s="243"/>
      <c r="F6" s="255">
        <f>'DOE25'!J201+'DOE25'!J219+'DOE25'!J237</f>
        <v>3005.97</v>
      </c>
      <c r="G6" s="53">
        <f>'DOE25'!K201+'DOE25'!K219+'DOE25'!K237</f>
        <v>15808.2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1014286.3300000001</v>
      </c>
      <c r="D7" s="20">
        <f>'DOE25'!L202+'DOE25'!L220+'DOE25'!L238-F7-G7</f>
        <v>997287.20000000007</v>
      </c>
      <c r="E7" s="243"/>
      <c r="F7" s="255">
        <f>'DOE25'!J202+'DOE25'!J220+'DOE25'!J238</f>
        <v>15902.13</v>
      </c>
      <c r="G7" s="53">
        <f>'DOE25'!K202+'DOE25'!K220+'DOE25'!K238</f>
        <v>1097</v>
      </c>
      <c r="H7" s="259"/>
    </row>
    <row r="8" spans="1:9" x14ac:dyDescent="0.2">
      <c r="A8" s="32">
        <v>2300</v>
      </c>
      <c r="B8" t="s">
        <v>802</v>
      </c>
      <c r="C8" s="245">
        <f t="shared" si="0"/>
        <v>226374.48999999993</v>
      </c>
      <c r="D8" s="243"/>
      <c r="E8" s="20">
        <f>'DOE25'!L203+'DOE25'!L221+'DOE25'!L239-F8-G8-D9-D11</f>
        <v>209074.47999999992</v>
      </c>
      <c r="F8" s="255">
        <f>'DOE25'!J203+'DOE25'!J221+'DOE25'!J239</f>
        <v>3615.1499999999996</v>
      </c>
      <c r="G8" s="53">
        <f>'DOE25'!K203+'DOE25'!K221+'DOE25'!K239</f>
        <v>13684.86</v>
      </c>
      <c r="H8" s="259"/>
    </row>
    <row r="9" spans="1:9" x14ac:dyDescent="0.2">
      <c r="A9" s="32">
        <v>2310</v>
      </c>
      <c r="B9" t="s">
        <v>818</v>
      </c>
      <c r="C9" s="245">
        <f t="shared" si="0"/>
        <v>93002.94</v>
      </c>
      <c r="D9" s="244">
        <v>93002.94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27726</v>
      </c>
      <c r="D10" s="243"/>
      <c r="E10" s="244">
        <v>27726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459870.71</v>
      </c>
      <c r="D11" s="244">
        <v>459870.71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2737902.55</v>
      </c>
      <c r="D12" s="20">
        <f>'DOE25'!L204+'DOE25'!L222+'DOE25'!L240-F12-G12</f>
        <v>2713485.2199999997</v>
      </c>
      <c r="E12" s="243"/>
      <c r="F12" s="255">
        <f>'DOE25'!J204+'DOE25'!J222+'DOE25'!J240</f>
        <v>6965.04</v>
      </c>
      <c r="G12" s="53">
        <f>'DOE25'!K204+'DOE25'!K222+'DOE25'!K240</f>
        <v>17452.29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787032.10000000009</v>
      </c>
      <c r="D13" s="243"/>
      <c r="E13" s="20">
        <f>'DOE25'!L205+'DOE25'!L223+'DOE25'!L241-F13-G13</f>
        <v>786485.60000000009</v>
      </c>
      <c r="F13" s="255">
        <f>'DOE25'!J205+'DOE25'!J223+'DOE25'!J241</f>
        <v>546.5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4418303.93</v>
      </c>
      <c r="D14" s="20">
        <f>'DOE25'!L206+'DOE25'!L224+'DOE25'!L242-F14-G14</f>
        <v>4382065.83</v>
      </c>
      <c r="E14" s="243"/>
      <c r="F14" s="255">
        <f>'DOE25'!J206+'DOE25'!J224+'DOE25'!J242</f>
        <v>36238.1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1764438.7</v>
      </c>
      <c r="D15" s="20">
        <f>'DOE25'!L207+'DOE25'!L225+'DOE25'!L243-F15-G15</f>
        <v>1764438.7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55958.16</v>
      </c>
      <c r="D22" s="243"/>
      <c r="E22" s="243"/>
      <c r="F22" s="255">
        <f>'DOE25'!L254+'DOE25'!L335</f>
        <v>55958.16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1360324.37</v>
      </c>
      <c r="D25" s="243"/>
      <c r="E25" s="243"/>
      <c r="F25" s="258"/>
      <c r="G25" s="256"/>
      <c r="H25" s="257">
        <f>'DOE25'!L259+'DOE25'!L260+'DOE25'!L340+'DOE25'!L341</f>
        <v>1360324.37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740263.23</v>
      </c>
      <c r="D29" s="20">
        <f>'DOE25'!L357+'DOE25'!L358+'DOE25'!L359-'DOE25'!I366-F29-G29</f>
        <v>727840.2699999999</v>
      </c>
      <c r="E29" s="243"/>
      <c r="F29" s="255">
        <f>'DOE25'!J357+'DOE25'!J358+'DOE25'!J359</f>
        <v>8902.4200000000019</v>
      </c>
      <c r="G29" s="53">
        <f>'DOE25'!K357+'DOE25'!K358+'DOE25'!K359</f>
        <v>3520.54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2125881.2800000003</v>
      </c>
      <c r="D31" s="20">
        <f>'DOE25'!L289+'DOE25'!L308+'DOE25'!L327+'DOE25'!L332+'DOE25'!L333+'DOE25'!L334-F31-G31</f>
        <v>2002332.7300000002</v>
      </c>
      <c r="E31" s="243"/>
      <c r="F31" s="255">
        <f>'DOE25'!J289+'DOE25'!J308+'DOE25'!J327+'DOE25'!J332+'DOE25'!J333+'DOE25'!J334</f>
        <v>69806.78</v>
      </c>
      <c r="G31" s="53">
        <f>'DOE25'!K289+'DOE25'!K308+'DOE25'!K327+'DOE25'!K332+'DOE25'!K333+'DOE25'!K334</f>
        <v>53741.770000000004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42126259.070000008</v>
      </c>
      <c r="E33" s="246">
        <f>SUM(E5:E31)</f>
        <v>1023286.0800000001</v>
      </c>
      <c r="F33" s="246">
        <f>SUM(F5:F31)</f>
        <v>514288.47999999986</v>
      </c>
      <c r="G33" s="246">
        <f>SUM(G5:G31)</f>
        <v>124094.66</v>
      </c>
      <c r="H33" s="246">
        <f>SUM(H5:H31)</f>
        <v>1360324.37</v>
      </c>
    </row>
    <row r="35" spans="2:8" ht="12" thickBot="1" x14ac:dyDescent="0.25">
      <c r="B35" s="253" t="s">
        <v>847</v>
      </c>
      <c r="D35" s="254">
        <f>E33</f>
        <v>1023286.0800000001</v>
      </c>
      <c r="E35" s="249"/>
    </row>
    <row r="36" spans="2:8" ht="12" thickTop="1" x14ac:dyDescent="0.2">
      <c r="B36" t="s">
        <v>815</v>
      </c>
      <c r="D36" s="20">
        <f>D33</f>
        <v>42126259.070000008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HUDSON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1414062.26</v>
      </c>
      <c r="D8" s="95">
        <f>'DOE25'!G9</f>
        <v>183268.37</v>
      </c>
      <c r="E8" s="95">
        <f>'DOE25'!H9</f>
        <v>266974.19</v>
      </c>
      <c r="F8" s="95">
        <f>'DOE25'!I9</f>
        <v>0</v>
      </c>
      <c r="G8" s="95">
        <f>'DOE25'!J9</f>
        <v>683023.1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284680.25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56459.6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326039.18</v>
      </c>
      <c r="D12" s="95">
        <f>'DOE25'!G13</f>
        <v>71091.28</v>
      </c>
      <c r="E12" s="95">
        <f>'DOE25'!H13</f>
        <v>278196.40999999997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13408.36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43923.8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2082113.85</v>
      </c>
      <c r="D18" s="41">
        <f>SUM(D8:D17)</f>
        <v>254359.65</v>
      </c>
      <c r="E18" s="41">
        <f>SUM(E8:E17)</f>
        <v>545170.6</v>
      </c>
      <c r="F18" s="41">
        <f>SUM(F8:F17)</f>
        <v>0</v>
      </c>
      <c r="G18" s="41">
        <f>SUM(G8:G17)</f>
        <v>739482.7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275029.18</v>
      </c>
      <c r="F21" s="95">
        <f>'DOE25'!I22</f>
        <v>0</v>
      </c>
      <c r="G21" s="95">
        <f>'DOE25'!J22</f>
        <v>55064.67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62001.82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177277.95</v>
      </c>
      <c r="D23" s="95">
        <f>'DOE25'!G24</f>
        <v>617.70000000000005</v>
      </c>
      <c r="E23" s="95">
        <f>'DOE25'!H24</f>
        <v>1289.29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2682.33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1039716.86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22746.82</v>
      </c>
      <c r="E29" s="95">
        <f>'DOE25'!H30</f>
        <v>4367.25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1281678.96</v>
      </c>
      <c r="D31" s="41">
        <f>SUM(D21:D30)</f>
        <v>23364.52</v>
      </c>
      <c r="E31" s="41">
        <f>SUM(E21:E30)</f>
        <v>280685.71999999997</v>
      </c>
      <c r="F31" s="41">
        <f>SUM(F21:F30)</f>
        <v>0</v>
      </c>
      <c r="G31" s="41">
        <f>SUM(G21:G30)</f>
        <v>55064.67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43923.8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230995.13</v>
      </c>
      <c r="E46" s="95">
        <f>'DOE25'!H47</f>
        <v>264484.88</v>
      </c>
      <c r="F46" s="95">
        <f>'DOE25'!I47</f>
        <v>0</v>
      </c>
      <c r="G46" s="95">
        <f>'DOE25'!J47</f>
        <v>684418.03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295420.08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461091.01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800434.89</v>
      </c>
      <c r="D49" s="41">
        <f>SUM(D34:D48)</f>
        <v>230995.13</v>
      </c>
      <c r="E49" s="41">
        <f>SUM(E34:E48)</f>
        <v>264484.88</v>
      </c>
      <c r="F49" s="41">
        <f>SUM(F34:F48)</f>
        <v>0</v>
      </c>
      <c r="G49" s="41">
        <f>SUM(G34:G48)</f>
        <v>684418.03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2082113.85</v>
      </c>
      <c r="D50" s="41">
        <f>D49+D31</f>
        <v>254359.65</v>
      </c>
      <c r="E50" s="41">
        <f>E49+E31</f>
        <v>545170.6</v>
      </c>
      <c r="F50" s="41">
        <f>F49+F31</f>
        <v>0</v>
      </c>
      <c r="G50" s="41">
        <f>G49+G31</f>
        <v>739482.70000000007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25362603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141112.39000000001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7269.6</v>
      </c>
      <c r="D58" s="95">
        <f>'DOE25'!G95</f>
        <v>521.14</v>
      </c>
      <c r="E58" s="95">
        <f>'DOE25'!H95</f>
        <v>659.06</v>
      </c>
      <c r="F58" s="95">
        <f>'DOE25'!I95</f>
        <v>0</v>
      </c>
      <c r="G58" s="95">
        <f>'DOE25'!J95</f>
        <v>4158.71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792892.68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412194.98</v>
      </c>
      <c r="D60" s="95">
        <f>SUM('DOE25'!G97:G109)</f>
        <v>23061.7</v>
      </c>
      <c r="E60" s="95">
        <f>SUM('DOE25'!H97:H109)</f>
        <v>216391.98000000004</v>
      </c>
      <c r="F60" s="95">
        <f>SUM('DOE25'!I97:I109)</f>
        <v>0</v>
      </c>
      <c r="G60" s="95">
        <f>SUM('DOE25'!J97:J109)</f>
        <v>158926.29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560576.97</v>
      </c>
      <c r="D61" s="130">
        <f>SUM(D56:D60)</f>
        <v>816475.52</v>
      </c>
      <c r="E61" s="130">
        <f>SUM(E56:E60)</f>
        <v>217051.04000000004</v>
      </c>
      <c r="F61" s="130">
        <f>SUM(F56:F60)</f>
        <v>0</v>
      </c>
      <c r="G61" s="130">
        <f>SUM(G56:G60)</f>
        <v>163085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25923179.969999999</v>
      </c>
      <c r="D62" s="22">
        <f>D55+D61</f>
        <v>816475.52</v>
      </c>
      <c r="E62" s="22">
        <f>E55+E61</f>
        <v>217051.04000000004</v>
      </c>
      <c r="F62" s="22">
        <f>F55+F61</f>
        <v>0</v>
      </c>
      <c r="G62" s="22">
        <f>G55+G61</f>
        <v>163085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9304212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5999366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15303578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373206.56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360525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188004.22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159607.79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16443.310000000001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1081343.57</v>
      </c>
      <c r="D77" s="130">
        <f>SUM(D71:D76)</f>
        <v>16443.310000000001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16384921.57</v>
      </c>
      <c r="D80" s="130">
        <f>SUM(D78:D79)+D77+D69</f>
        <v>16443.310000000001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267064.51</v>
      </c>
      <c r="D87" s="95">
        <f>SUM('DOE25'!G152:G160)</f>
        <v>328623.71999999997</v>
      </c>
      <c r="E87" s="95">
        <f>SUM('DOE25'!H152:H160)</f>
        <v>1901062.15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267064.51</v>
      </c>
      <c r="D90" s="131">
        <f>SUM(D84:D89)</f>
        <v>328623.71999999997</v>
      </c>
      <c r="E90" s="131">
        <f>SUM(E84:E89)</f>
        <v>1901062.15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46685.99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46685.99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42621852.039999999</v>
      </c>
      <c r="D103" s="86">
        <f>D62+D80+D90+D102</f>
        <v>1161542.55</v>
      </c>
      <c r="E103" s="86">
        <f>E62+E80+E90+E102</f>
        <v>2118113.19</v>
      </c>
      <c r="F103" s="86">
        <f>F62+F80+F90+F102</f>
        <v>0</v>
      </c>
      <c r="G103" s="86">
        <f>G62+G80+G102</f>
        <v>163085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17326989.240000002</v>
      </c>
      <c r="D108" s="24" t="s">
        <v>289</v>
      </c>
      <c r="E108" s="95">
        <f>('DOE25'!L275)+('DOE25'!L294)+('DOE25'!L313)</f>
        <v>619937.5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6281840.2000000011</v>
      </c>
      <c r="D109" s="24" t="s">
        <v>289</v>
      </c>
      <c r="E109" s="95">
        <f>('DOE25'!L276)+('DOE25'!L295)+('DOE25'!L314)</f>
        <v>867649.7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1473034.0499999998</v>
      </c>
      <c r="D110" s="24" t="s">
        <v>289</v>
      </c>
      <c r="E110" s="95">
        <f>('DOE25'!L277)+('DOE25'!L296)+('DOE25'!L315)</f>
        <v>406564.11000000004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543306.66999999993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68612.010000000009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25625170.160000004</v>
      </c>
      <c r="D114" s="86">
        <f>SUM(D108:D113)</f>
        <v>0</v>
      </c>
      <c r="E114" s="86">
        <f>SUM(E108:E113)</f>
        <v>1962763.32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3711717.71</v>
      </c>
      <c r="D117" s="24" t="s">
        <v>289</v>
      </c>
      <c r="E117" s="95">
        <f>+('DOE25'!L280)+('DOE25'!L299)+('DOE25'!L318)</f>
        <v>11646.64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1014286.3300000001</v>
      </c>
      <c r="D118" s="24" t="s">
        <v>289</v>
      </c>
      <c r="E118" s="95">
        <f>+('DOE25'!L281)+('DOE25'!L300)+('DOE25'!L319)</f>
        <v>151471.32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779248.14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2737902.55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787032.10000000009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4418303.93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1764438.7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1131881.32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15212929.459999999</v>
      </c>
      <c r="D127" s="86">
        <f>SUM(D117:D126)</f>
        <v>1131881.32</v>
      </c>
      <c r="E127" s="86">
        <f>SUM(E117:E126)</f>
        <v>163117.96000000002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55958.16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1095332.78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264991.59000000003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7500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162303.4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781.6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-163085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1416282.53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7500</v>
      </c>
    </row>
    <row r="144" spans="1:7" ht="12.75" thickTop="1" thickBot="1" x14ac:dyDescent="0.25">
      <c r="A144" s="33" t="s">
        <v>244</v>
      </c>
      <c r="C144" s="86">
        <f>(C114+C127+C143)</f>
        <v>42254382.150000006</v>
      </c>
      <c r="D144" s="86">
        <f>(D114+D127+D143)</f>
        <v>1131881.32</v>
      </c>
      <c r="E144" s="86">
        <f>(E114+E127+E143)</f>
        <v>2125881.2800000003</v>
      </c>
      <c r="F144" s="86">
        <f>(F114+F127+F143)</f>
        <v>0</v>
      </c>
      <c r="G144" s="86">
        <f>(G114+G127+G143)</f>
        <v>7500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12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8/10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6/21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8220000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2.7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7200000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7200000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1095332.78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1095332.78</v>
      </c>
    </row>
    <row r="158" spans="1:9" x14ac:dyDescent="0.2">
      <c r="A158" s="22" t="s">
        <v>35</v>
      </c>
      <c r="B158" s="137">
        <f>'DOE25'!F497</f>
        <v>631000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631000</v>
      </c>
    </row>
    <row r="159" spans="1:9" x14ac:dyDescent="0.2">
      <c r="A159" s="22" t="s">
        <v>36</v>
      </c>
      <c r="B159" s="137">
        <f>'DOE25'!F498</f>
        <v>807715.68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807715.68</v>
      </c>
    </row>
    <row r="160" spans="1:9" x14ac:dyDescent="0.2">
      <c r="A160" s="22" t="s">
        <v>37</v>
      </c>
      <c r="B160" s="137">
        <f>'DOE25'!F499</f>
        <v>1438715.6800000002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1438715.6800000002</v>
      </c>
    </row>
    <row r="161" spans="1:7" x14ac:dyDescent="0.2">
      <c r="A161" s="22" t="s">
        <v>38</v>
      </c>
      <c r="B161" s="137">
        <f>'DOE25'!F500</f>
        <v>870000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870000</v>
      </c>
    </row>
    <row r="162" spans="1:7" x14ac:dyDescent="0.2">
      <c r="A162" s="22" t="s">
        <v>39</v>
      </c>
      <c r="B162" s="137">
        <f>'DOE25'!F501</f>
        <v>175693.76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175693.76</v>
      </c>
    </row>
    <row r="163" spans="1:7" x14ac:dyDescent="0.2">
      <c r="A163" s="22" t="s">
        <v>246</v>
      </c>
      <c r="B163" s="137">
        <f>'DOE25'!F502</f>
        <v>1045693.76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1045693.76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6" t="s">
        <v>740</v>
      </c>
      <c r="B1" s="286"/>
      <c r="C1" s="286"/>
      <c r="D1" s="286"/>
    </row>
    <row r="2" spans="1:4" x14ac:dyDescent="0.2">
      <c r="A2" s="187" t="s">
        <v>717</v>
      </c>
      <c r="B2" s="186" t="str">
        <f>'DOE25'!A2</f>
        <v>HUDSON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10093</v>
      </c>
    </row>
    <row r="5" spans="1:4" x14ac:dyDescent="0.2">
      <c r="B5" t="s">
        <v>704</v>
      </c>
      <c r="C5" s="179">
        <f>IF('DOE25'!G664+'DOE25'!G669=0,0,ROUND('DOE25'!G671,0))</f>
        <v>9791</v>
      </c>
    </row>
    <row r="6" spans="1:4" x14ac:dyDescent="0.2">
      <c r="B6" t="s">
        <v>62</v>
      </c>
      <c r="C6" s="179">
        <f>IF('DOE25'!H664+'DOE25'!H669=0,0,ROUND('DOE25'!H671,0))</f>
        <v>10600</v>
      </c>
    </row>
    <row r="7" spans="1:4" x14ac:dyDescent="0.2">
      <c r="B7" t="s">
        <v>705</v>
      </c>
      <c r="C7" s="179">
        <f>IF('DOE25'!I664+'DOE25'!I669=0,0,ROUND('DOE25'!I671,0))</f>
        <v>10204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17946927</v>
      </c>
      <c r="D10" s="182">
        <f>ROUND((C10/$C$28)*100,1)</f>
        <v>41.2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7149490</v>
      </c>
      <c r="D11" s="182">
        <f>ROUND((C11/$C$28)*100,1)</f>
        <v>16.399999999999999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1879598</v>
      </c>
      <c r="D12" s="182">
        <f>ROUND((C12/$C$28)*100,1)</f>
        <v>4.3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543307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3723364</v>
      </c>
      <c r="D15" s="182">
        <f t="shared" ref="D15:D27" si="0">ROUND((C15/$C$28)*100,1)</f>
        <v>8.6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1165758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779248</v>
      </c>
      <c r="D17" s="182">
        <f t="shared" si="0"/>
        <v>1.8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2737903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787032</v>
      </c>
      <c r="D19" s="182">
        <f t="shared" si="0"/>
        <v>1.8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4418304</v>
      </c>
      <c r="D20" s="182">
        <f t="shared" si="0"/>
        <v>10.1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1764439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68612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ROUND('DOE25'!L260+'DOE25'!L341,0)</f>
        <v>264992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315926.61999999988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43544900.619999997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55958</v>
      </c>
    </row>
    <row r="30" spans="1:4" x14ac:dyDescent="0.2">
      <c r="B30" s="187" t="s">
        <v>729</v>
      </c>
      <c r="C30" s="180">
        <f>SUM(C28:C29)</f>
        <v>43600858.619999997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1095333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25362603</v>
      </c>
      <c r="D35" s="182">
        <f t="shared" ref="D35:D40" si="1">ROUND((C35/$C$41)*100,1)</f>
        <v>56.1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941234.14999999851</v>
      </c>
      <c r="D36" s="182">
        <f t="shared" si="1"/>
        <v>2.1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15303578</v>
      </c>
      <c r="D37" s="182">
        <f t="shared" si="1"/>
        <v>33.9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1097787</v>
      </c>
      <c r="D38" s="182">
        <f t="shared" si="1"/>
        <v>2.4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2496750</v>
      </c>
      <c r="D39" s="182">
        <f t="shared" si="1"/>
        <v>5.5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45201952.149999999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7" t="s">
        <v>770</v>
      </c>
      <c r="B1" s="298"/>
      <c r="C1" s="298"/>
      <c r="D1" s="298"/>
      <c r="E1" s="298"/>
      <c r="F1" s="298"/>
      <c r="G1" s="298"/>
      <c r="H1" s="298"/>
      <c r="I1" s="298"/>
      <c r="J1" s="213"/>
      <c r="K1" s="213"/>
      <c r="L1" s="213"/>
      <c r="M1" s="214"/>
    </row>
    <row r="2" spans="1:26" ht="12.75" x14ac:dyDescent="0.2">
      <c r="A2" s="303" t="s">
        <v>767</v>
      </c>
      <c r="B2" s="304"/>
      <c r="C2" s="304"/>
      <c r="D2" s="304"/>
      <c r="E2" s="304"/>
      <c r="F2" s="301" t="str">
        <f>'DOE25'!A2</f>
        <v>HUDSON SCHOOL DISTRICT</v>
      </c>
      <c r="G2" s="302"/>
      <c r="H2" s="302"/>
      <c r="I2" s="30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9" t="s">
        <v>771</v>
      </c>
      <c r="D3" s="299"/>
      <c r="E3" s="299"/>
      <c r="F3" s="299"/>
      <c r="G3" s="299"/>
      <c r="H3" s="299"/>
      <c r="I3" s="299"/>
      <c r="J3" s="299"/>
      <c r="K3" s="299"/>
      <c r="L3" s="299"/>
      <c r="M3" s="300"/>
    </row>
    <row r="4" spans="1:26" x14ac:dyDescent="0.2">
      <c r="A4" s="218"/>
      <c r="B4" s="219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1"/>
      <c r="O29" s="211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7"/>
      <c r="AB29" s="207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7"/>
      <c r="AO29" s="207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7"/>
      <c r="BB29" s="207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7"/>
      <c r="BO29" s="207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7"/>
      <c r="CB29" s="207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7"/>
      <c r="CO29" s="207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7"/>
      <c r="DB29" s="207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7"/>
      <c r="DO29" s="207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7"/>
      <c r="EB29" s="207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7"/>
      <c r="EO29" s="207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7"/>
      <c r="FB29" s="207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7"/>
      <c r="FO29" s="207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7"/>
      <c r="GB29" s="207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7"/>
      <c r="GO29" s="207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7"/>
      <c r="HB29" s="207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7"/>
      <c r="HO29" s="207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7"/>
      <c r="IB29" s="207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7"/>
      <c r="IO29" s="207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8"/>
      <c r="B30" s="219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1"/>
      <c r="O30" s="211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7"/>
      <c r="AB30" s="207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7"/>
      <c r="AO30" s="207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7"/>
      <c r="BB30" s="207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7"/>
      <c r="BO30" s="207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7"/>
      <c r="CB30" s="207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7"/>
      <c r="CO30" s="207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7"/>
      <c r="DB30" s="207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7"/>
      <c r="DO30" s="207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7"/>
      <c r="EB30" s="207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7"/>
      <c r="EO30" s="207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7"/>
      <c r="FB30" s="207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7"/>
      <c r="FO30" s="207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7"/>
      <c r="GB30" s="207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7"/>
      <c r="GO30" s="207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7"/>
      <c r="HB30" s="207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7"/>
      <c r="HO30" s="207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7"/>
      <c r="IB30" s="207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7"/>
      <c r="IO30" s="207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8"/>
      <c r="B31" s="219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1"/>
      <c r="O31" s="211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7"/>
      <c r="AB31" s="207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7"/>
      <c r="AO31" s="207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7"/>
      <c r="BB31" s="207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7"/>
      <c r="BO31" s="207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7"/>
      <c r="CB31" s="207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7"/>
      <c r="CO31" s="207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7"/>
      <c r="DB31" s="207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7"/>
      <c r="DO31" s="207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7"/>
      <c r="EB31" s="207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7"/>
      <c r="EO31" s="207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7"/>
      <c r="FB31" s="207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7"/>
      <c r="FO31" s="207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7"/>
      <c r="GB31" s="207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7"/>
      <c r="GO31" s="207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7"/>
      <c r="HB31" s="207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7"/>
      <c r="HO31" s="207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7"/>
      <c r="IB31" s="207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7"/>
      <c r="IO31" s="207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8"/>
      <c r="B32" s="219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8"/>
      <c r="AO32" s="219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8"/>
      <c r="BB32" s="219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8"/>
      <c r="BO32" s="219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8"/>
      <c r="CB32" s="219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8"/>
      <c r="CO32" s="219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8"/>
      <c r="DB32" s="219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8"/>
      <c r="DO32" s="219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8"/>
      <c r="EB32" s="219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8"/>
      <c r="EO32" s="219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8"/>
      <c r="FB32" s="219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8"/>
      <c r="FO32" s="219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8"/>
      <c r="GB32" s="219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8"/>
      <c r="GO32" s="219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8"/>
      <c r="HB32" s="219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8"/>
      <c r="HO32" s="219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8"/>
      <c r="IB32" s="219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8"/>
      <c r="IO32" s="219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8"/>
      <c r="B33" s="219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1"/>
      <c r="O38" s="211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7"/>
      <c r="AB38" s="207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7"/>
      <c r="AO38" s="207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7"/>
      <c r="BB38" s="207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7"/>
      <c r="BO38" s="207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7"/>
      <c r="CB38" s="207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7"/>
      <c r="CO38" s="207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7"/>
      <c r="DB38" s="207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7"/>
      <c r="DO38" s="207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7"/>
      <c r="EB38" s="207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7"/>
      <c r="EO38" s="207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7"/>
      <c r="FB38" s="207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7"/>
      <c r="FO38" s="207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7"/>
      <c r="GB38" s="207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7"/>
      <c r="GO38" s="207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7"/>
      <c r="HB38" s="207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7"/>
      <c r="HO38" s="207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7"/>
      <c r="IB38" s="207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7"/>
      <c r="IO38" s="207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8"/>
      <c r="B39" s="219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1"/>
      <c r="O39" s="211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7"/>
      <c r="AB39" s="207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7"/>
      <c r="AO39" s="207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7"/>
      <c r="BB39" s="207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7"/>
      <c r="BO39" s="207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7"/>
      <c r="CB39" s="207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7"/>
      <c r="CO39" s="207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7"/>
      <c r="DB39" s="207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7"/>
      <c r="DO39" s="207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7"/>
      <c r="EB39" s="207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7"/>
      <c r="EO39" s="207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7"/>
      <c r="FB39" s="207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7"/>
      <c r="FO39" s="207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7"/>
      <c r="GB39" s="207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7"/>
      <c r="GO39" s="207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7"/>
      <c r="HB39" s="207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7"/>
      <c r="HO39" s="207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7"/>
      <c r="IB39" s="207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7"/>
      <c r="IO39" s="207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8"/>
      <c r="B40" s="219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1"/>
      <c r="O40" s="211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7"/>
      <c r="AB40" s="207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7"/>
      <c r="AO40" s="207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7"/>
      <c r="BB40" s="207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7"/>
      <c r="BO40" s="207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7"/>
      <c r="CB40" s="207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7"/>
      <c r="CO40" s="207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7"/>
      <c r="DB40" s="207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7"/>
      <c r="DO40" s="207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7"/>
      <c r="EB40" s="207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7"/>
      <c r="EO40" s="207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7"/>
      <c r="FB40" s="207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7"/>
      <c r="FO40" s="207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7"/>
      <c r="GB40" s="207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7"/>
      <c r="GO40" s="207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7"/>
      <c r="HB40" s="207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7"/>
      <c r="HO40" s="207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7"/>
      <c r="IB40" s="207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7"/>
      <c r="IO40" s="207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8"/>
      <c r="B41" s="219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8"/>
      <c r="B60" s="219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8"/>
      <c r="B61" s="219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8"/>
      <c r="B62" s="219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8"/>
      <c r="B63" s="219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8"/>
      <c r="B64" s="219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8"/>
      <c r="B65" s="21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8"/>
      <c r="B66" s="219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8"/>
      <c r="B67" s="219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8"/>
      <c r="B68" s="219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8"/>
      <c r="B69" s="219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0"/>
      <c r="B70" s="221"/>
      <c r="C70" s="290"/>
      <c r="D70" s="290"/>
      <c r="E70" s="290"/>
      <c r="F70" s="290"/>
      <c r="G70" s="290"/>
      <c r="H70" s="290"/>
      <c r="I70" s="290"/>
      <c r="J70" s="290"/>
      <c r="K70" s="290"/>
      <c r="L70" s="290"/>
      <c r="M70" s="29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2" t="s">
        <v>848</v>
      </c>
      <c r="B72" s="292"/>
      <c r="C72" s="292"/>
      <c r="D72" s="292"/>
      <c r="E72" s="29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</row>
    <row r="74" spans="1:13" x14ac:dyDescent="0.2">
      <c r="A74" s="211"/>
      <c r="B74" s="211"/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</row>
    <row r="75" spans="1:13" x14ac:dyDescent="0.2">
      <c r="A75" s="211"/>
      <c r="B75" s="211"/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7"/>
    </row>
    <row r="76" spans="1:13" x14ac:dyDescent="0.2">
      <c r="A76" s="211"/>
      <c r="B76" s="211"/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</row>
    <row r="77" spans="1:13" x14ac:dyDescent="0.2">
      <c r="A77" s="211"/>
      <c r="B77" s="211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</row>
    <row r="78" spans="1:13" x14ac:dyDescent="0.2">
      <c r="A78" s="211"/>
      <c r="B78" s="211"/>
      <c r="C78" s="287"/>
      <c r="D78" s="287"/>
      <c r="E78" s="287"/>
      <c r="F78" s="287"/>
      <c r="G78" s="287"/>
      <c r="H78" s="287"/>
      <c r="I78" s="287"/>
      <c r="J78" s="287"/>
      <c r="K78" s="287"/>
      <c r="L78" s="287"/>
      <c r="M78" s="287"/>
    </row>
    <row r="79" spans="1:13" x14ac:dyDescent="0.2">
      <c r="A79" s="211"/>
      <c r="B79" s="211"/>
      <c r="C79" s="287"/>
      <c r="D79" s="287"/>
      <c r="E79" s="287"/>
      <c r="F79" s="287"/>
      <c r="G79" s="287"/>
      <c r="H79" s="287"/>
      <c r="I79" s="287"/>
      <c r="J79" s="287"/>
      <c r="K79" s="287"/>
      <c r="L79" s="287"/>
      <c r="M79" s="287"/>
    </row>
    <row r="80" spans="1:13" x14ac:dyDescent="0.2">
      <c r="A80" s="211"/>
      <c r="B80" s="211"/>
      <c r="C80" s="287"/>
      <c r="D80" s="287"/>
      <c r="E80" s="287"/>
      <c r="F80" s="287"/>
      <c r="G80" s="287"/>
      <c r="H80" s="287"/>
      <c r="I80" s="287"/>
      <c r="J80" s="287"/>
      <c r="K80" s="287"/>
      <c r="L80" s="287"/>
      <c r="M80" s="287"/>
    </row>
    <row r="81" spans="1:13" x14ac:dyDescent="0.2">
      <c r="A81" s="211"/>
      <c r="B81" s="211"/>
      <c r="C81" s="287"/>
      <c r="D81" s="287"/>
      <c r="E81" s="287"/>
      <c r="F81" s="287"/>
      <c r="G81" s="287"/>
      <c r="H81" s="287"/>
      <c r="I81" s="287"/>
      <c r="J81" s="287"/>
      <c r="K81" s="287"/>
      <c r="L81" s="287"/>
      <c r="M81" s="287"/>
    </row>
    <row r="82" spans="1:13" x14ac:dyDescent="0.2">
      <c r="A82" s="211"/>
      <c r="B82" s="211"/>
      <c r="C82" s="287"/>
      <c r="D82" s="287"/>
      <c r="E82" s="287"/>
      <c r="F82" s="287"/>
      <c r="G82" s="287"/>
      <c r="H82" s="287"/>
      <c r="I82" s="287"/>
      <c r="J82" s="287"/>
      <c r="K82" s="287"/>
      <c r="L82" s="287"/>
      <c r="M82" s="287"/>
    </row>
    <row r="83" spans="1:13" x14ac:dyDescent="0.2">
      <c r="A83" s="211"/>
      <c r="B83" s="211"/>
      <c r="C83" s="287"/>
      <c r="D83" s="287"/>
      <c r="E83" s="287"/>
      <c r="F83" s="287"/>
      <c r="G83" s="287"/>
      <c r="H83" s="287"/>
      <c r="I83" s="287"/>
      <c r="J83" s="287"/>
      <c r="K83" s="287"/>
      <c r="L83" s="287"/>
      <c r="M83" s="287"/>
    </row>
    <row r="84" spans="1:13" x14ac:dyDescent="0.2">
      <c r="A84" s="211"/>
      <c r="B84" s="211"/>
      <c r="C84" s="287"/>
      <c r="D84" s="287"/>
      <c r="E84" s="287"/>
      <c r="F84" s="287"/>
      <c r="G84" s="287"/>
      <c r="H84" s="287"/>
      <c r="I84" s="287"/>
      <c r="J84" s="287"/>
      <c r="K84" s="287"/>
      <c r="L84" s="287"/>
      <c r="M84" s="287"/>
    </row>
    <row r="85" spans="1:13" x14ac:dyDescent="0.2">
      <c r="A85" s="211"/>
      <c r="B85" s="211"/>
      <c r="C85" s="287"/>
      <c r="D85" s="287"/>
      <c r="E85" s="287"/>
      <c r="F85" s="287"/>
      <c r="G85" s="287"/>
      <c r="H85" s="287"/>
      <c r="I85" s="287"/>
      <c r="J85" s="287"/>
      <c r="K85" s="287"/>
      <c r="L85" s="287"/>
      <c r="M85" s="287"/>
    </row>
    <row r="86" spans="1:13" x14ac:dyDescent="0.2">
      <c r="A86" s="211"/>
      <c r="B86" s="211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</row>
    <row r="87" spans="1:13" x14ac:dyDescent="0.2">
      <c r="A87" s="211"/>
      <c r="B87" s="211"/>
      <c r="C87" s="287"/>
      <c r="D87" s="287"/>
      <c r="E87" s="287"/>
      <c r="F87" s="287"/>
      <c r="G87" s="287"/>
      <c r="H87" s="287"/>
      <c r="I87" s="287"/>
      <c r="J87" s="287"/>
      <c r="K87" s="287"/>
      <c r="L87" s="287"/>
      <c r="M87" s="287"/>
    </row>
    <row r="88" spans="1:13" x14ac:dyDescent="0.2">
      <c r="A88" s="211"/>
      <c r="B88" s="211"/>
      <c r="C88" s="287"/>
      <c r="D88" s="287"/>
      <c r="E88" s="287"/>
      <c r="F88" s="287"/>
      <c r="G88" s="287"/>
      <c r="H88" s="287"/>
      <c r="I88" s="287"/>
      <c r="J88" s="287"/>
      <c r="K88" s="287"/>
      <c r="L88" s="287"/>
      <c r="M88" s="287"/>
    </row>
    <row r="89" spans="1:13" x14ac:dyDescent="0.2">
      <c r="A89" s="211"/>
      <c r="B89" s="211"/>
      <c r="C89" s="287"/>
      <c r="D89" s="287"/>
      <c r="E89" s="287"/>
      <c r="F89" s="287"/>
      <c r="G89" s="287"/>
      <c r="H89" s="287"/>
      <c r="I89" s="287"/>
      <c r="J89" s="287"/>
      <c r="K89" s="287"/>
      <c r="L89" s="287"/>
      <c r="M89" s="287"/>
    </row>
    <row r="90" spans="1:13" x14ac:dyDescent="0.2">
      <c r="A90" s="211"/>
      <c r="B90" s="211"/>
      <c r="C90" s="287"/>
      <c r="D90" s="287"/>
      <c r="E90" s="287"/>
      <c r="F90" s="287"/>
      <c r="G90" s="287"/>
      <c r="H90" s="287"/>
      <c r="I90" s="287"/>
      <c r="J90" s="287"/>
      <c r="K90" s="287"/>
      <c r="L90" s="287"/>
      <c r="M90" s="287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2013-09-10T14:13:42Z</cp:lastPrinted>
  <dcterms:created xsi:type="dcterms:W3CDTF">1997-12-04T19:04:30Z</dcterms:created>
  <dcterms:modified xsi:type="dcterms:W3CDTF">2013-12-05T18:45:09Z</dcterms:modified>
</cp:coreProperties>
</file>