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8" i="12" l="1"/>
  <c r="C37" i="12"/>
  <c r="C19" i="12"/>
  <c r="C21" i="12"/>
  <c r="C12" i="12"/>
  <c r="C10" i="12"/>
  <c r="F664" i="1" l="1"/>
  <c r="G610" i="1"/>
  <c r="F610" i="1"/>
  <c r="H596" i="1" l="1"/>
  <c r="J590" i="1"/>
  <c r="J594" i="1"/>
  <c r="H594" i="1"/>
  <c r="F578" i="1"/>
  <c r="G563" i="1"/>
  <c r="F563" i="1"/>
  <c r="K359" i="1"/>
  <c r="I359" i="1"/>
  <c r="H359" i="1"/>
  <c r="G357" i="1"/>
  <c r="H22" i="1"/>
  <c r="H17" i="1"/>
  <c r="H13" i="1"/>
  <c r="H12" i="1"/>
  <c r="F29" i="1"/>
  <c r="F9" i="1"/>
  <c r="H154" i="1" l="1"/>
  <c r="H153" i="1"/>
  <c r="H102" i="1"/>
  <c r="H109" i="1"/>
  <c r="G157" i="1"/>
  <c r="G96" i="1"/>
  <c r="F100" i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D7" i="13" s="1"/>
  <c r="C7" i="13" s="1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D14" i="13" s="1"/>
  <c r="C14" i="13" s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G660" i="1" s="1"/>
  <c r="L358" i="1"/>
  <c r="L359" i="1"/>
  <c r="I366" i="1"/>
  <c r="J289" i="1"/>
  <c r="J308" i="1"/>
  <c r="J327" i="1"/>
  <c r="K289" i="1"/>
  <c r="K308" i="1"/>
  <c r="K327" i="1"/>
  <c r="L275" i="1"/>
  <c r="E108" i="2" s="1"/>
  <c r="E114" i="2" s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E109" i="2" s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A31" i="12" s="1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F111" i="1" s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3" i="10"/>
  <c r="C16" i="10"/>
  <c r="C18" i="10"/>
  <c r="L249" i="1"/>
  <c r="L331" i="1"/>
  <c r="C23" i="10" s="1"/>
  <c r="L253" i="1"/>
  <c r="C25" i="10"/>
  <c r="L267" i="1"/>
  <c r="L268" i="1"/>
  <c r="L348" i="1"/>
  <c r="L349" i="1"/>
  <c r="I664" i="1"/>
  <c r="I669" i="1"/>
  <c r="L210" i="1"/>
  <c r="L228" i="1"/>
  <c r="G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G551" i="1" s="1"/>
  <c r="L526" i="1"/>
  <c r="G549" i="1" s="1"/>
  <c r="L527" i="1"/>
  <c r="G550" i="1" s="1"/>
  <c r="L530" i="1"/>
  <c r="H548" i="1" s="1"/>
  <c r="H551" i="1" s="1"/>
  <c r="L531" i="1"/>
  <c r="H549" i="1" s="1"/>
  <c r="L532" i="1"/>
  <c r="H550" i="1" s="1"/>
  <c r="L535" i="1"/>
  <c r="I548" i="1" s="1"/>
  <c r="L536" i="1"/>
  <c r="I549" i="1" s="1"/>
  <c r="L537" i="1"/>
  <c r="I550" i="1" s="1"/>
  <c r="I551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F18" i="2" s="1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D31" i="2" s="1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C61" i="2" s="1"/>
  <c r="C62" i="2" s="1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C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E117" i="2"/>
  <c r="C118" i="2"/>
  <c r="E118" i="2"/>
  <c r="C119" i="2"/>
  <c r="E119" i="2"/>
  <c r="C120" i="2"/>
  <c r="E120" i="2"/>
  <c r="E121" i="2"/>
  <c r="E122" i="2"/>
  <c r="C124" i="2"/>
  <c r="E124" i="2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G618" i="1" s="1"/>
  <c r="I19" i="1"/>
  <c r="F32" i="1"/>
  <c r="G32" i="1"/>
  <c r="H32" i="1"/>
  <c r="I32" i="1"/>
  <c r="F50" i="1"/>
  <c r="F51" i="1" s="1"/>
  <c r="H616" i="1" s="1"/>
  <c r="G50" i="1"/>
  <c r="H50" i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K256" i="1" s="1"/>
  <c r="F255" i="1"/>
  <c r="G255" i="1"/>
  <c r="H255" i="1"/>
  <c r="I255" i="1"/>
  <c r="J255" i="1"/>
  <c r="K255" i="1"/>
  <c r="L269" i="1"/>
  <c r="F289" i="1"/>
  <c r="G289" i="1"/>
  <c r="H289" i="1"/>
  <c r="I289" i="1"/>
  <c r="F308" i="1"/>
  <c r="G308" i="1"/>
  <c r="H308" i="1"/>
  <c r="I308" i="1"/>
  <c r="F327" i="1"/>
  <c r="G327" i="1"/>
  <c r="G337" i="1" s="1"/>
  <c r="G351" i="1" s="1"/>
  <c r="H327" i="1"/>
  <c r="I327" i="1"/>
  <c r="F336" i="1"/>
  <c r="G336" i="1"/>
  <c r="L336" i="1" s="1"/>
  <c r="H336" i="1"/>
  <c r="I336" i="1"/>
  <c r="J336" i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G407" i="1" s="1"/>
  <c r="H644" i="1" s="1"/>
  <c r="J644" i="1" s="1"/>
  <c r="H400" i="1"/>
  <c r="I400" i="1"/>
  <c r="F406" i="1"/>
  <c r="G406" i="1"/>
  <c r="H406" i="1"/>
  <c r="I406" i="1"/>
  <c r="F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638" i="1" s="1"/>
  <c r="G445" i="1"/>
  <c r="H445" i="1"/>
  <c r="I445" i="1"/>
  <c r="G641" i="1" s="1"/>
  <c r="F451" i="1"/>
  <c r="G451" i="1"/>
  <c r="H451" i="1"/>
  <c r="I451" i="1"/>
  <c r="F459" i="1"/>
  <c r="G459" i="1"/>
  <c r="H459" i="1"/>
  <c r="I459" i="1"/>
  <c r="F460" i="1"/>
  <c r="H638" i="1" s="1"/>
  <c r="G460" i="1"/>
  <c r="H460" i="1"/>
  <c r="I460" i="1"/>
  <c r="F469" i="1"/>
  <c r="G469" i="1"/>
  <c r="H469" i="1"/>
  <c r="I469" i="1"/>
  <c r="J469" i="1"/>
  <c r="J475" i="1" s="1"/>
  <c r="H625" i="1" s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I544" i="1" s="1"/>
  <c r="J528" i="1"/>
  <c r="K528" i="1"/>
  <c r="K544" i="1" s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F570" i="1" s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K604" i="1" s="1"/>
  <c r="G647" i="1" s="1"/>
  <c r="H604" i="1"/>
  <c r="I604" i="1"/>
  <c r="J604" i="1"/>
  <c r="F613" i="1"/>
  <c r="G613" i="1"/>
  <c r="H613" i="1"/>
  <c r="I613" i="1"/>
  <c r="J613" i="1"/>
  <c r="K613" i="1"/>
  <c r="G619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9" i="1"/>
  <c r="H639" i="1"/>
  <c r="G640" i="1"/>
  <c r="H640" i="1"/>
  <c r="H641" i="1"/>
  <c r="G642" i="1"/>
  <c r="H642" i="1"/>
  <c r="G643" i="1"/>
  <c r="G644" i="1"/>
  <c r="G649" i="1"/>
  <c r="G650" i="1"/>
  <c r="G651" i="1"/>
  <c r="H651" i="1"/>
  <c r="G652" i="1"/>
  <c r="H652" i="1"/>
  <c r="G653" i="1"/>
  <c r="H653" i="1"/>
  <c r="H654" i="1"/>
  <c r="F191" i="1"/>
  <c r="L255" i="1"/>
  <c r="I256" i="1"/>
  <c r="I270" i="1" s="1"/>
  <c r="G256" i="1"/>
  <c r="G270" i="1" s="1"/>
  <c r="G163" i="2"/>
  <c r="G159" i="2"/>
  <c r="F31" i="2"/>
  <c r="C26" i="10"/>
  <c r="L327" i="1"/>
  <c r="L350" i="1"/>
  <c r="C69" i="2"/>
  <c r="G161" i="2"/>
  <c r="D61" i="2"/>
  <c r="D62" i="2" s="1"/>
  <c r="E49" i="2"/>
  <c r="D18" i="13"/>
  <c r="C18" i="13" s="1"/>
  <c r="F102" i="2"/>
  <c r="D18" i="2"/>
  <c r="E18" i="2"/>
  <c r="D17" i="13"/>
  <c r="C17" i="13" s="1"/>
  <c r="D6" i="13"/>
  <c r="C6" i="13" s="1"/>
  <c r="G158" i="2"/>
  <c r="G80" i="2"/>
  <c r="F77" i="2"/>
  <c r="F80" i="2" s="1"/>
  <c r="F61" i="2"/>
  <c r="F62" i="2" s="1"/>
  <c r="C77" i="2"/>
  <c r="C80" i="2" s="1"/>
  <c r="D49" i="2"/>
  <c r="G156" i="2"/>
  <c r="F49" i="2"/>
  <c r="F50" i="2" s="1"/>
  <c r="G162" i="2"/>
  <c r="G160" i="2"/>
  <c r="G157" i="2"/>
  <c r="G155" i="2"/>
  <c r="E143" i="2"/>
  <c r="G102" i="2"/>
  <c r="E102" i="2"/>
  <c r="C102" i="2"/>
  <c r="D90" i="2"/>
  <c r="F90" i="2"/>
  <c r="E61" i="2"/>
  <c r="E62" i="2" s="1"/>
  <c r="E31" i="2"/>
  <c r="C31" i="2"/>
  <c r="G61" i="2"/>
  <c r="D19" i="13"/>
  <c r="C19" i="13" s="1"/>
  <c r="E77" i="2"/>
  <c r="E80" i="2" s="1"/>
  <c r="L426" i="1"/>
  <c r="H111" i="1"/>
  <c r="J640" i="1"/>
  <c r="J570" i="1"/>
  <c r="K570" i="1"/>
  <c r="L432" i="1"/>
  <c r="L418" i="1"/>
  <c r="D80" i="2"/>
  <c r="I168" i="1"/>
  <c r="H168" i="1"/>
  <c r="J642" i="1"/>
  <c r="H475" i="1"/>
  <c r="H623" i="1" s="1"/>
  <c r="J623" i="1" s="1"/>
  <c r="I475" i="1"/>
  <c r="H624" i="1" s="1"/>
  <c r="J624" i="1" s="1"/>
  <c r="G475" i="1"/>
  <c r="H622" i="1" s="1"/>
  <c r="F168" i="1"/>
  <c r="J139" i="1"/>
  <c r="K549" i="1"/>
  <c r="G22" i="2"/>
  <c r="J551" i="1"/>
  <c r="C29" i="10"/>
  <c r="H139" i="1"/>
  <c r="L392" i="1"/>
  <c r="C137" i="2" s="1"/>
  <c r="F22" i="13"/>
  <c r="H25" i="13"/>
  <c r="C25" i="13" s="1"/>
  <c r="J639" i="1"/>
  <c r="H570" i="1"/>
  <c r="L559" i="1"/>
  <c r="J544" i="1"/>
  <c r="G191" i="1"/>
  <c r="H191" i="1"/>
  <c r="F551" i="1"/>
  <c r="C35" i="10"/>
  <c r="L308" i="1"/>
  <c r="E16" i="13"/>
  <c r="C49" i="2"/>
  <c r="J654" i="1"/>
  <c r="L569" i="1"/>
  <c r="I570" i="1"/>
  <c r="J635" i="1"/>
  <c r="G36" i="2"/>
  <c r="L564" i="1"/>
  <c r="C22" i="13"/>
  <c r="H33" i="13"/>
  <c r="A40" i="12" l="1"/>
  <c r="A13" i="12"/>
  <c r="G621" i="1"/>
  <c r="L613" i="1"/>
  <c r="J638" i="1"/>
  <c r="L400" i="1"/>
  <c r="C138" i="2" s="1"/>
  <c r="H407" i="1"/>
  <c r="H643" i="1" s="1"/>
  <c r="J643" i="1" s="1"/>
  <c r="C10" i="10"/>
  <c r="E123" i="2"/>
  <c r="E127" i="2" s="1"/>
  <c r="E144" i="2" s="1"/>
  <c r="C17" i="10"/>
  <c r="H661" i="1"/>
  <c r="C20" i="10"/>
  <c r="H337" i="1"/>
  <c r="H351" i="1" s="1"/>
  <c r="C12" i="10"/>
  <c r="F337" i="1"/>
  <c r="F351" i="1" s="1"/>
  <c r="C11" i="10"/>
  <c r="J337" i="1"/>
  <c r="J351" i="1" s="1"/>
  <c r="L289" i="1"/>
  <c r="F659" i="1" s="1"/>
  <c r="J650" i="1"/>
  <c r="C21" i="10"/>
  <c r="H256" i="1"/>
  <c r="H270" i="1" s="1"/>
  <c r="K597" i="1"/>
  <c r="G646" i="1" s="1"/>
  <c r="J633" i="1"/>
  <c r="F660" i="1"/>
  <c r="I660" i="1" s="1"/>
  <c r="D126" i="2"/>
  <c r="D127" i="2" s="1"/>
  <c r="D144" i="2" s="1"/>
  <c r="H660" i="1"/>
  <c r="L361" i="1"/>
  <c r="C27" i="10" s="1"/>
  <c r="D29" i="13"/>
  <c r="C29" i="13" s="1"/>
  <c r="K270" i="1"/>
  <c r="E50" i="2"/>
  <c r="H51" i="1"/>
  <c r="H618" i="1" s="1"/>
  <c r="J618" i="1" s="1"/>
  <c r="J622" i="1"/>
  <c r="G51" i="1"/>
  <c r="H617" i="1" s="1"/>
  <c r="J617" i="1" s="1"/>
  <c r="J616" i="1"/>
  <c r="C50" i="2"/>
  <c r="C18" i="2"/>
  <c r="C90" i="2"/>
  <c r="C103" i="2" s="1"/>
  <c r="F475" i="1"/>
  <c r="H621" i="1" s="1"/>
  <c r="J621" i="1" s="1"/>
  <c r="K550" i="1"/>
  <c r="L538" i="1"/>
  <c r="L544" i="1" s="1"/>
  <c r="H544" i="1"/>
  <c r="K548" i="1"/>
  <c r="K551" i="1" s="1"/>
  <c r="G544" i="1"/>
  <c r="C122" i="2"/>
  <c r="D12" i="13"/>
  <c r="C12" i="13" s="1"/>
  <c r="C117" i="2"/>
  <c r="E13" i="13"/>
  <c r="C13" i="13" s="1"/>
  <c r="E8" i="13"/>
  <c r="C8" i="13" s="1"/>
  <c r="D5" i="13"/>
  <c r="C5" i="13" s="1"/>
  <c r="L246" i="1"/>
  <c r="H659" i="1" s="1"/>
  <c r="J256" i="1"/>
  <c r="J270" i="1" s="1"/>
  <c r="F256" i="1"/>
  <c r="F270" i="1" s="1"/>
  <c r="C19" i="10"/>
  <c r="C15" i="10"/>
  <c r="C16" i="13"/>
  <c r="D15" i="13"/>
  <c r="C15" i="13" s="1"/>
  <c r="G648" i="1"/>
  <c r="J648" i="1" s="1"/>
  <c r="C123" i="2"/>
  <c r="C121" i="2"/>
  <c r="F661" i="1"/>
  <c r="I661" i="1" s="1"/>
  <c r="H646" i="1"/>
  <c r="C24" i="10"/>
  <c r="G659" i="1"/>
  <c r="G663" i="1" s="1"/>
  <c r="G671" i="1" s="1"/>
  <c r="C5" i="10" s="1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E103" i="2" s="1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F33" i="13" s="1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G666" i="1"/>
  <c r="G42" i="2"/>
  <c r="J50" i="1"/>
  <c r="G16" i="2"/>
  <c r="J19" i="1"/>
  <c r="G620" i="1" s="1"/>
  <c r="G18" i="2"/>
  <c r="F544" i="1"/>
  <c r="H433" i="1"/>
  <c r="J619" i="1"/>
  <c r="D102" i="2"/>
  <c r="D103" i="2" s="1"/>
  <c r="I139" i="1"/>
  <c r="I192" i="1" s="1"/>
  <c r="G629" i="1" s="1"/>
  <c r="J629" i="1" s="1"/>
  <c r="A22" i="12"/>
  <c r="G49" i="2"/>
  <c r="J651" i="1"/>
  <c r="J641" i="1"/>
  <c r="G570" i="1"/>
  <c r="I433" i="1"/>
  <c r="G433" i="1"/>
  <c r="I662" i="1"/>
  <c r="E33" i="13" l="1"/>
  <c r="D35" i="13" s="1"/>
  <c r="G50" i="2"/>
  <c r="H645" i="1"/>
  <c r="H647" i="1"/>
  <c r="J647" i="1" s="1"/>
  <c r="L337" i="1"/>
  <c r="L351" i="1" s="1"/>
  <c r="G632" i="1" s="1"/>
  <c r="J632" i="1" s="1"/>
  <c r="D31" i="13"/>
  <c r="C31" i="13" s="1"/>
  <c r="J646" i="1"/>
  <c r="G634" i="1"/>
  <c r="J634" i="1" s="1"/>
  <c r="F663" i="1"/>
  <c r="F671" i="1" s="1"/>
  <c r="C4" i="10" s="1"/>
  <c r="C127" i="2"/>
  <c r="C144" i="2" s="1"/>
  <c r="H663" i="1"/>
  <c r="I659" i="1"/>
  <c r="I663" i="1" s="1"/>
  <c r="I671" i="1" s="1"/>
  <c r="C7" i="10" s="1"/>
  <c r="L256" i="1"/>
  <c r="L270" i="1" s="1"/>
  <c r="G631" i="1" s="1"/>
  <c r="J631" i="1" s="1"/>
  <c r="C28" i="10"/>
  <c r="D24" i="10" s="1"/>
  <c r="G630" i="1"/>
  <c r="J630" i="1" s="1"/>
  <c r="J645" i="1"/>
  <c r="G192" i="1"/>
  <c r="G627" i="1" s="1"/>
  <c r="J627" i="1" s="1"/>
  <c r="G625" i="1"/>
  <c r="J625" i="1" s="1"/>
  <c r="J51" i="1"/>
  <c r="H620" i="1" s="1"/>
  <c r="J620" i="1" s="1"/>
  <c r="C38" i="10"/>
  <c r="D33" i="13" l="1"/>
  <c r="D36" i="13" s="1"/>
  <c r="F666" i="1"/>
  <c r="D22" i="10"/>
  <c r="D11" i="10"/>
  <c r="D21" i="10"/>
  <c r="D13" i="10"/>
  <c r="D27" i="10"/>
  <c r="D10" i="10"/>
  <c r="D26" i="10"/>
  <c r="C30" i="10"/>
  <c r="D16" i="10"/>
  <c r="D23" i="10"/>
  <c r="D20" i="10"/>
  <c r="D15" i="10"/>
  <c r="D25" i="10"/>
  <c r="D19" i="10"/>
  <c r="D18" i="10"/>
  <c r="D17" i="10"/>
  <c r="D12" i="10"/>
  <c r="H666" i="1"/>
  <c r="H671" i="1"/>
  <c r="C6" i="10" s="1"/>
  <c r="I666" i="1"/>
  <c r="H655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<sst xmlns="http://schemas.openxmlformats.org/spreadsheetml/2006/main" count="3947" uniqueCount="912">
  <si>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</si>
  <si>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</si>
  <si>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</si>
  <si>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</si>
  <si>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</si>
  <si>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</si>
  <si>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</si>
  <si>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</si>
  <si>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</si>
  <si>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</si>
  <si>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</si>
  <si>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</si>
  <si>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</si>
  <si>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</si>
  <si>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</si>
  <si>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</si>
  <si>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</si>
  <si>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</si>
  <si>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</si>
  <si>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</si>
  <si>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</si>
  <si>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</si>
  <si>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</si>
  <si>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</si>
  <si>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</si>
  <si>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</si>
  <si>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</si>
  <si>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</si>
  <si>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</si>
  <si>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</si>
  <si>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</si>
  <si>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</si>
  <si>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</si>
  <si>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</si>
  <si>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</si>
  <si>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</si>
  <si>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</si>
  <si>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</si>
  <si>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</si>
  <si>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</si>
  <si>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</si>
  <si>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</si>
  <si>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</si>
  <si>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</si>
  <si>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</si>
  <si>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</si>
  <si>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</si>
  <si>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</si>
  <si>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</si>
  <si>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</si>
  <si>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</si>
  <si>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</si>
  <si>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</si>
  <si>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</si>
  <si>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</si>
  <si>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</si>
  <si>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</si>
  <si>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</si>
  <si>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</si>
  <si>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</si>
  <si>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</si>
  <si>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</si>
  <si>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</si>
  <si>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</si>
  <si>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</si>
  <si>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</si>
  <si>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</si>
  <si>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</si>
  <si>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</si>
  <si>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</si>
  <si>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</si>
  <si>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</si>
  <si>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</si>
  <si>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</si>
  <si>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</si>
  <si>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</si>
  <si>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</si>
  <si>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</si>
  <si>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</si>
  <si>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</si>
  <si>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</si>
  <si>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</si>
  <si>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</si>
  <si>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</si>
  <si>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</si>
  <si>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</si>
  <si>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</si>
  <si>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</si>
  <si>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</si>
  <si>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</si>
  <si>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</si>
  <si>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</si>
  <si>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</si>
  <si>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</si>
  <si>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</si>
  <si>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</si>
  <si>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</si>
  <si>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</si>
  <si>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</si>
  <si>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</si>
  <si>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</si>
  <si>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</si>
  <si>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</si>
  <si>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</si>
  <si>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</si>
  <si>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</si>
  <si>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</si>
  <si>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</si>
  <si>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</si>
  <si>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</si>
  <si>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</si>
  <si>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</si>
  <si>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</si>
  <si>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</si>
  <si>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</si>
  <si>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</si>
  <si>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</si>
  <si>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</si>
  <si>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</si>
  <si>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</si>
  <si>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</si>
  <si>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</si>
  <si>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</si>
  <si>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</si>
  <si>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</si>
  <si>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</si>
  <si>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</si>
  <si>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</si>
  <si>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</si>
  <si>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</si>
  <si>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</si>
  <si>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</si>
  <si>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</si>
  <si>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</si>
  <si>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</si>
  <si>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</si>
  <si>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</si>
  <si>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</si>
  <si>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</si>
  <si>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</si>
  <si>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</si>
  <si>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</si>
  <si>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</si>
  <si>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</si>
  <si>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</si>
  <si>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</si>
  <si>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</si>
  <si>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</si>
  <si>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</si>
  <si>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</si>
  <si>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</si>
  <si>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</si>
  <si>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</si>
  <si>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</si>
  <si>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</si>
  <si>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</si>
  <si>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</si>
  <si>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</si>
  <si>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</si>
  <si>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</si>
  <si>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</si>
  <si>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</si>
  <si>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</si>
  <si>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</si>
  <si>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</si>
  <si>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</si>
  <si>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</si>
  <si>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</si>
  <si>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</si>
  <si>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</si>
  <si>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</si>
  <si>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</si>
  <si>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</si>
  <si>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</si>
  <si>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</si>
  <si>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</si>
  <si>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</si>
  <si>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</si>
  <si>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</si>
  <si>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</si>
  <si>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</si>
  <si>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</si>
  <si>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</si>
  <si>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</si>
  <si>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</si>
  <si>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</si>
  <si>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</si>
  <si>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</si>
  <si>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</si>
  <si>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</si>
  <si>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</si>
  <si>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</si>
  <si>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</si>
  <si>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</si>
  <si>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</si>
  <si>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</si>
  <si>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</si>
  <si>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</si>
  <si>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</si>
  <si>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</si>
  <si>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</si>
  <si>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</si>
  <si>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</si>
  <si>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</si>
  <si>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</si>
  <si>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</si>
  <si>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</si>
  <si>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</si>
  <si>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</si>
  <si>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</si>
  <si>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</si>
  <si>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</si>
  <si>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</si>
  <si>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</si>
  <si>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</si>
  <si>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</si>
  <si>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</si>
  <si>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</si>
  <si>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</si>
  <si>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</si>
  <si>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</si>
  <si>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</si>
  <si>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</si>
  <si>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</si>
  <si>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</si>
  <si>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</si>
  <si>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</si>
  <si>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</si>
  <si>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</si>
  <si>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</si>
  <si>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</si>
  <si>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</si>
  <si>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</si>
  <si>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</si>
  <si>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</si>
  <si>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</si>
  <si>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</si>
  <si>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</si>
  <si>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</si>
  <si>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</si>
  <si>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</si>
  <si>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</si>
  <si>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</si>
  <si>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</si>
  <si>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</si>
  <si>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</si>
  <si>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</si>
  <si>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</si>
  <si>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</si>
  <si>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</si>
  <si>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</si>
  <si>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</si>
  <si>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</si>
  <si>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</si>
  <si>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</si>
  <si>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</si>
  <si>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</si>
  <si>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</si>
  <si>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</si>
  <si>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</si>
  <si>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</si>
  <si>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</si>
  <si>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</si>
  <si>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</si>
  <si>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</si>
  <si>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</si>
  <si>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</si>
  <si>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</si>
  <si>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</si>
  <si>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</si>
  <si>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</si>
  <si>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</si>
  <si>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</si>
  <si>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</si>
  <si>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</si>
  <si>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</si>
  <si>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</si>
  <si>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</si>
  <si>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</si>
  <si>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</si>
  <si>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</si>
  <si>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</si>
  <si>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</si>
  <si>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</si>
  <si>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</si>
  <si>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</si>
  <si>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</si>
  <si>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</si>
  <si>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</si>
  <si>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</si>
  <si>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</si>
  <si>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</si>
  <si>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</si>
  <si>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</si>
  <si>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</si>
  <si>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</si>
  <si>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</si>
  <si>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</si>
  <si>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</si>
  <si>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</si>
  <si>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</si>
  <si>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</si>
  <si>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</si>
  <si>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</si>
  <si>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</si>
  <si>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</si>
  <si>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</si>
  <si>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</si>
  <si>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</si>
  <si>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</si>
  <si>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</si>
  <si>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</si>
  <si>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</si>
  <si>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</si>
  <si>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</si>
  <si>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</si>
  <si>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</si>
  <si>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</si>
  <si>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</si>
  <si>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</si>
  <si>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</si>
  <si>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</si>
  <si>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</si>
  <si>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</si>
  <si>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</si>
  <si>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</si>
  <si>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</si>
  <si>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</si>
  <si>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</si>
  <si>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</si>
  <si>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</si>
  <si>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</si>
  <si>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</si>
  <si>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</si>
  <si>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</si>
  <si>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</si>
  <si>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</si>
  <si>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</si>
  <si>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</si>
  <si>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</si>
  <si>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</si>
  <si>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</si>
  <si>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</si>
  <si>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</si>
  <si>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</si>
  <si>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</si>
  <si>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</si>
  <si>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</si>
  <si>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</si>
  <si>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</si>
  <si>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</si>
  <si>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</si>
  <si>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</si>
  <si>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</si>
  <si>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</si>
  <si>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</si>
  <si>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</si>
  <si>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</si>
  <si>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</si>
  <si>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</si>
  <si>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</si>
  <si>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</si>
  <si>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</si>
  <si>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</si>
  <si>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</si>
  <si>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</si>
  <si>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</si>
  <si>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</si>
  <si>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</si>
  <si>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</si>
  <si>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</si>
  <si>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</si>
  <si>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</si>
  <si>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</si>
  <si>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</si>
  <si>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</si>
  <si>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</si>
  <si>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</si>
  <si>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</si>
  <si>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</si>
  <si>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</si>
  <si>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</si>
  <si>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</si>
  <si>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</si>
  <si>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</si>
  <si>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</si>
  <si>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</si>
  <si>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</si>
  <si>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</si>
  <si>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</si>
  <si>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</si>
  <si>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</si>
  <si>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</si>
  <si>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</si>
  <si>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</si>
  <si>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</si>
  <si>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</si>
  <si>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</si>
  <si>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</si>
  <si>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</si>
  <si>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</si>
  <si>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</si>
  <si>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</si>
  <si>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</si>
  <si>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</si>
  <si>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</si>
  <si>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</si>
  <si>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</si>
  <si>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</si>
  <si>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</si>
  <si>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</si>
  <si>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</si>
  <si>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</si>
  <si>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</si>
  <si>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</si>
  <si>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</si>
  <si>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</si>
  <si>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</si>
  <si>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</si>
  <si>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</si>
  <si>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</si>
  <si>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</si>
  <si>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</si>
  <si>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</si>
  <si>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</si>
  <si>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</si>
  <si>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</si>
  <si>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</si>
  <si>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</si>
  <si>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</si>
  <si>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</si>
  <si>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</si>
  <si>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</si>
  <si>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</si>
  <si>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</si>
  <si>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</si>
  <si>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</si>
  <si>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</si>
  <si>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</si>
  <si>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</si>
  <si>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</si>
  <si>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</si>
  <si>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</si>
  <si>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</si>
  <si>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</si>
  <si>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</si>
  <si>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</si>
  <si>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</si>
  <si>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</si>
  <si>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</si>
  <si>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</si>
  <si>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</si>
  <si>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</si>
  <si>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</si>
  <si>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</si>
  <si>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</si>
  <si>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</si>
  <si>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</si>
  <si>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</si>
  <si>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</si>
  <si>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</si>
  <si>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</si>
  <si>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</si>
  <si>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</si>
  <si>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</si>
  <si>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</si>
  <si>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</si>
  <si>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</si>
  <si>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</si>
  <si>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</si>
  <si>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</si>
  <si>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</si>
  <si>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</si>
  <si>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</si>
  <si>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</si>
  <si>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</si>
  <si>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</si>
  <si>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</si>
  <si>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</si>
  <si>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</si>
  <si>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</si>
  <si>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</si>
  <si>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</si>
  <si>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</si>
  <si>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</si>
  <si>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</si>
  <si>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</si>
  <si>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</si>
  <si>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</si>
  <si>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</si>
  <si>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</si>
  <si>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</si>
  <si>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</si>
  <si>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</si>
  <si>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</si>
  <si>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</si>
  <si>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</si>
  <si>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</si>
  <si>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</si>
  <si>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</si>
  <si>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</si>
  <si>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</si>
  <si>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</si>
  <si>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</si>
  <si>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</si>
  <si>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</si>
  <si>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</si>
  <si>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</si>
  <si>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</si>
  <si>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</si>
  <si>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</si>
  <si>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</si>
  <si>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</si>
  <si>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</si>
  <si>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</si>
  <si>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</si>
  <si>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</si>
  <si>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</si>
  <si>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</si>
  <si>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</si>
  <si>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</si>
  <si>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</si>
  <si>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</si>
  <si>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</si>
  <si>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</si>
  <si>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</si>
  <si>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</si>
  <si>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</si>
  <si>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</si>
  <si>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</si>
  <si>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</si>
  <si>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</si>
  <si>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</si>
  <si>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</si>
  <si>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</si>
  <si>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</si>
  <si>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</si>
  <si>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</si>
  <si>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</si>
  <si>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</si>
  <si>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</si>
  <si>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</si>
  <si>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</si>
  <si>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</si>
  <si>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</si>
  <si>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</si>
  <si>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</si>
  <si>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</si>
  <si>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</si>
  <si>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</si>
  <si>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</si>
  <si>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</si>
  <si>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</si>
  <si>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</si>
  <si>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</si>
  <si>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</si>
  <si>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</si>
  <si>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</si>
  <si>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</si>
  <si>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</si>
  <si>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</si>
  <si>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</si>
  <si>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</si>
  <si>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</si>
  <si>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</si>
  <si>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</si>
  <si>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</si>
  <si>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</si>
  <si>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</si>
  <si>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</si>
  <si>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</si>
  <si>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</si>
  <si>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</si>
  <si>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</si>
  <si>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</si>
  <si>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</si>
  <si>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</si>
  <si>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</si>
  <si>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</si>
  <si>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</si>
  <si>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</si>
  <si>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</si>
  <si>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</si>
  <si>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</si>
  <si>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</si>
  <si>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</si>
  <si>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</si>
  <si>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</si>
  <si>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</si>
  <si>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</si>
  <si>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</si>
  <si>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</si>
  <si>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</si>
  <si>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</si>
  <si>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</si>
  <si>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</si>
  <si>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</si>
  <si>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</si>
  <si>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</si>
  <si>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</si>
  <si>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</si>
  <si>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</si>
  <si>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</si>
  <si>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</si>
  <si>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</si>
  <si>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</si>
  <si>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</si>
  <si>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</si>
  <si>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</si>
  <si>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</si>
  <si>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</si>
  <si>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</si>
  <si>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</si>
  <si>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</si>
  <si>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</si>
  <si>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</si>
  <si>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</si>
  <si>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</si>
  <si>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</si>
  <si>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</si>
  <si>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</si>
  <si>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</si>
  <si>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</si>
  <si>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</si>
  <si>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</si>
  <si>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</si>
  <si>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</si>
  <si>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</si>
  <si>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</si>
  <si>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</si>
  <si>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</si>
  <si>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</si>
  <si>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</si>
  <si>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</si>
  <si>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</si>
  <si>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</si>
  <si>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</si>
  <si>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</si>
  <si>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</si>
  <si>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</si>
  <si>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</si>
  <si>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</si>
  <si>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</si>
  <si>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</si>
  <si>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</si>
  <si>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</si>
  <si>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</si>
  <si>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</si>
  <si>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</si>
  <si>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</si>
  <si>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</si>
  <si>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</si>
  <si>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</si>
  <si>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</si>
  <si>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</si>
  <si>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</si>
  <si>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</si>
  <si>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</si>
  <si>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</si>
  <si>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</si>
  <si>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</si>
  <si>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</si>
  <si>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</si>
  <si>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</si>
  <si>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</si>
  <si>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</si>
  <si>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</si>
  <si>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</si>
  <si>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</si>
  <si>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</si>
  <si>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</si>
  <si>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</si>
  <si>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</si>
  <si>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</si>
  <si>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</si>
  <si>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</si>
  <si>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</si>
  <si>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</si>
  <si>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</si>
  <si>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</si>
  <si>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</si>
  <si>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</si>
  <si>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</si>
  <si>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</si>
  <si>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</si>
  <si>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</si>
  <si>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</si>
  <si>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</si>
  <si>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</si>
  <si>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</si>
  <si>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</si>
  <si>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</si>
  <si>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</si>
  <si>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</si>
  <si>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</si>
  <si>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</si>
  <si>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</si>
  <si>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</si>
  <si>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</si>
  <si>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</si>
  <si>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</si>
  <si>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</si>
  <si>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</si>
  <si>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</si>
  <si>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</si>
  <si>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</si>
  <si>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</si>
  <si>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</si>
  <si>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</si>
  <si>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</si>
  <si>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</si>
  <si>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</si>
  <si>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</si>
  <si>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</si>
  <si>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</si>
  <si>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</si>
  <si>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</si>
  <si>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</si>
  <si>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</si>
  <si>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</si>
  <si>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</si>
  <si>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</si>
  <si>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</si>
  <si>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</si>
  <si>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</si>
  <si>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</si>
  <si>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</si>
  <si>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</si>
  <si>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</si>
  <si>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</si>
  <si>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</si>
  <si>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</si>
  <si>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</si>
  <si>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</si>
  <si>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</si>
  <si>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</si>
  <si>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</si>
  <si>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</si>
  <si>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</si>
  <si>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</si>
  <si>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</si>
  <si>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</si>
  <si>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</si>
  <si>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</si>
  <si>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</si>
  <si>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</si>
  <si>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</si>
  <si>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</si>
  <si>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</si>
  <si>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</si>
  <si>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</si>
  <si>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</si>
  <si>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</si>
  <si>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</si>
  <si>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</si>
  <si>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</si>
  <si>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</si>
  <si>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</si>
  <si>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</si>
  <si>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</si>
  <si>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</si>
  <si>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</si>
  <si>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</si>
  <si>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</si>
  <si>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</si>
  <si>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</si>
  <si>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</si>
  <si>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</si>
  <si>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</si>
  <si>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</si>
  <si>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</si>
  <si>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</si>
  <si>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</si>
  <si>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</si>
  <si>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</si>
  <si>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</si>
  <si>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</si>
  <si>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</si>
  <si>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</si>
  <si>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</si>
  <si>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</si>
  <si>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</si>
  <si>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</si>
  <si>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</si>
  <si>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</si>
  <si>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</si>
  <si>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</si>
  <si>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</si>
  <si>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</si>
  <si>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</si>
  <si>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</si>
  <si>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</si>
  <si>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</si>
  <si>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</si>
  <si>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</si>
  <si>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</si>
  <si>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</si>
  <si>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</si>
  <si>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</si>
  <si>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</si>
  <si>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</si>
  <si>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</si>
  <si>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</si>
  <si>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</si>
  <si>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</si>
  <si>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</si>
  <si>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</si>
  <si>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</si>
  <si>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</si>
  <si>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</si>
  <si>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</si>
  <si>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</si>
  <si>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</si>
  <si>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</si>
  <si>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</si>
  <si>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</si>
  <si>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</si>
  <si>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</si>
  <si>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</si>
  <si>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</si>
  <si>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</si>
  <si>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</si>
  <si>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</si>
  <si>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</si>
  <si>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</si>
  <si>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</si>
  <si>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</si>
  <si>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</si>
  <si>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</si>
  <si>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</si>
  <si>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</si>
  <si>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</si>
  <si>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</si>
  <si>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</si>
  <si>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</si>
  <si>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</si>
  <si>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</si>
  <si>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</si>
  <si>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</si>
  <si>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</si>
  <si>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</si>
  <si>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</si>
  <si>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</si>
  <si>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</si>
  <si>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</si>
  <si>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</si>
  <si>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</si>
  <si>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</si>
  <si>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</si>
  <si>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</si>
  <si>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</si>
  <si>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</si>
  <si>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</si>
  <si>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</si>
  <si>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</si>
  <si>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</si>
  <si>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</si>
  <si>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</si>
  <si>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</si>
  <si>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</si>
  <si>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</si>
  <si>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</si>
  <si>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</si>
  <si>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</si>
  <si>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</si>
  <si>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</si>
  <si>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</si>
  <si>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</si>
  <si>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</si>
  <si>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</si>
  <si>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</si>
  <si>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</si>
  <si>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</si>
  <si>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</si>
  <si>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</si>
  <si>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</si>
  <si>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</si>
  <si>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</si>
  <si>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</si>
  <si>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</si>
  <si>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</si>
  <si>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</si>
  <si>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</si>
  <si>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</si>
  <si>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</si>
  <si>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</si>
  <si>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</si>
  <si>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</si>
  <si>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</si>
  <si>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</si>
  <si>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</si>
  <si>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</si>
  <si>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</si>
  <si>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</si>
  <si>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</si>
  <si>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</si>
  <si>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</si>
  <si>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</si>
  <si>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</si>
  <si>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</si>
  <si>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</si>
  <si>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</si>
  <si>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</si>
  <si>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</si>
  <si>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</si>
  <si>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</si>
  <si>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</si>
  <si>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</si>
  <si>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</si>
  <si>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Inter-Lakes School District</t>
  </si>
  <si>
    <t>Unposted Interest to Trust Fund for FY12</t>
  </si>
  <si>
    <t>Retirees District Paid Health and Dental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</si>
</sst>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Normal="100" workbookViewId="0">
      <pane xSplit="5" ySplit="3" topLeftCell="F64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269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598361.31+2800</f>
        <v>601161.31000000006</v>
      </c>
      <c r="G9" s="18"/>
      <c r="H9" s="18"/>
      <c r="I9" s="18">
        <v>3231.11</v>
      </c>
      <c r="J9" s="67">
        <f>SUM(I438)</f>
        <v>612002.6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4854120.74</v>
      </c>
      <c r="G12" s="18">
        <v>2320094.89</v>
      </c>
      <c r="H12" s="18">
        <f>1911969.65+376679.26+16053.44+164588.26</f>
        <v>2469290.6100000003</v>
      </c>
      <c r="I12" s="18">
        <v>22.38</v>
      </c>
      <c r="J12" s="67">
        <f>SUM(I440)</f>
        <v>25000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169021.8</v>
      </c>
      <c r="G13" s="18">
        <v>62069.15</v>
      </c>
      <c r="H13" s="18">
        <f>40889.25-99.66</f>
        <v>40789.589999999997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8057.35</v>
      </c>
      <c r="G14" s="18">
        <v>-5495.63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90287.42</v>
      </c>
      <c r="G17" s="18"/>
      <c r="H17" s="18">
        <f>7269.14</f>
        <v>7269.14</v>
      </c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5722648.6200000001</v>
      </c>
      <c r="G19" s="41">
        <f>SUM(G9:G18)</f>
        <v>2376668.41</v>
      </c>
      <c r="H19" s="41">
        <f>SUM(H9:H18)</f>
        <v>2517349.3400000003</v>
      </c>
      <c r="I19" s="41">
        <f>SUM(I9:I18)</f>
        <v>3253.4900000000002</v>
      </c>
      <c r="J19" s="41">
        <f>SUM(J9:J18)</f>
        <v>637002.6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4814407.88</v>
      </c>
      <c r="G22" s="18">
        <v>2360668.4500000002</v>
      </c>
      <c r="H22" s="18">
        <f>1947300.95+375293.29+11305.34+134530.33</f>
        <v>2468429.9099999997</v>
      </c>
      <c r="I22" s="18">
        <v>22.38</v>
      </c>
      <c r="J22" s="67">
        <f>SUM(I447)</f>
        <v>25000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278086.74</v>
      </c>
      <c r="G24" s="18">
        <v>83.4</v>
      </c>
      <c r="H24" s="18">
        <v>12827.09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15027.43-79.38+50-1375.62</f>
        <v>13622.43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-142.6</v>
      </c>
      <c r="H30" s="18">
        <v>1286.31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5106117.05</v>
      </c>
      <c r="G32" s="41">
        <f>SUM(G22:G31)</f>
        <v>2360609.25</v>
      </c>
      <c r="H32" s="41">
        <f>SUM(H22:H31)</f>
        <v>2482543.3099999996</v>
      </c>
      <c r="I32" s="41">
        <f>SUM(I22:I31)</f>
        <v>22.38</v>
      </c>
      <c r="J32" s="41">
        <f>SUM(J22:J31)</f>
        <v>25000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16059.16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30000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>
        <v>34806.03</v>
      </c>
      <c r="I47" s="18">
        <v>3231.11</v>
      </c>
      <c r="J47" s="13">
        <f>SUM(I458)</f>
        <v>612002.6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366262.39</v>
      </c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220269.18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616531.57000000007</v>
      </c>
      <c r="G50" s="41">
        <f>SUM(G35:G49)</f>
        <v>16059.16</v>
      </c>
      <c r="H50" s="41">
        <f>SUM(H35:H49)</f>
        <v>34806.03</v>
      </c>
      <c r="I50" s="41">
        <f>SUM(I35:I49)</f>
        <v>3231.11</v>
      </c>
      <c r="J50" s="41">
        <f>SUM(J35:J49)</f>
        <v>612002.6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5722648.6200000001</v>
      </c>
      <c r="G51" s="41">
        <f>G50+G32</f>
        <v>2376668.41</v>
      </c>
      <c r="H51" s="41">
        <f>H50+H32</f>
        <v>2517349.3399999994</v>
      </c>
      <c r="I51" s="41">
        <f>I50+I32</f>
        <v>3253.4900000000002</v>
      </c>
      <c r="J51" s="41">
        <f>J50+J32</f>
        <v>637002.6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12275398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12275398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52235.62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52235.62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2887.01</v>
      </c>
      <c r="G95" s="18"/>
      <c r="H95" s="18"/>
      <c r="I95" s="18"/>
      <c r="J95" s="18">
        <v>239.77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214750.95+4314.5+824.25</f>
        <v>219889.7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2242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f>12969.65+21510</f>
        <v>34479.65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>
        <v>10635</v>
      </c>
      <c r="G102" s="18"/>
      <c r="H102" s="18">
        <f>465+10353.44</f>
        <v>10818.44</v>
      </c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1966.26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2193.0500000000002</v>
      </c>
      <c r="G109" s="18"/>
      <c r="H109" s="18">
        <f>4199.93+47171.58</f>
        <v>51371.51</v>
      </c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54402.970000000008</v>
      </c>
      <c r="G110" s="41">
        <f>SUM(G95:G109)</f>
        <v>219889.7</v>
      </c>
      <c r="H110" s="41">
        <f>SUM(H95:H109)</f>
        <v>62189.950000000004</v>
      </c>
      <c r="I110" s="41">
        <f>SUM(I95:I109)</f>
        <v>0</v>
      </c>
      <c r="J110" s="41">
        <f>SUM(J95:J109)</f>
        <v>239.77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12382036.59</v>
      </c>
      <c r="G111" s="41">
        <f>G59+G110</f>
        <v>219889.7</v>
      </c>
      <c r="H111" s="41">
        <f>H59+H78+H93+H110</f>
        <v>62189.950000000004</v>
      </c>
      <c r="I111" s="41">
        <f>I59+I110</f>
        <v>0</v>
      </c>
      <c r="J111" s="41">
        <f>J59+J110</f>
        <v>239.77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248981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6375408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6624389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133237.4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20256.22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9350.27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5318.22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162843.88999999998</v>
      </c>
      <c r="G135" s="41">
        <f>SUM(G122:G134)</f>
        <v>5318.22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6787232.8899999997</v>
      </c>
      <c r="G139" s="41">
        <f>G120+SUM(G135:G136)</f>
        <v>5318.22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13451.49+243246.22</f>
        <v>256697.71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24361.01+9073.99+50404.52+7569.37</f>
        <v>91408.889999999985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f>186828.96+14401.41</f>
        <v>201230.37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94425.1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51475.55</v>
      </c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145900.65000000002</v>
      </c>
      <c r="G161" s="41">
        <f>SUM(G149:G160)</f>
        <v>201230.37</v>
      </c>
      <c r="H161" s="41">
        <f>SUM(H149:H160)</f>
        <v>348106.6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10646.73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156547.38000000003</v>
      </c>
      <c r="G168" s="41">
        <f>G146+G161+SUM(G162:G167)</f>
        <v>201230.37</v>
      </c>
      <c r="H168" s="41">
        <f>H146+H161+SUM(H162:H167)</f>
        <v>348106.6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50000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50000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50000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19325816.859999999</v>
      </c>
      <c r="G192" s="47">
        <f>G111+G139+G168+G191</f>
        <v>426438.29000000004</v>
      </c>
      <c r="H192" s="47">
        <f>H111+H139+H168+H191</f>
        <v>410296.55</v>
      </c>
      <c r="I192" s="47">
        <f>I111+I139+I168+I191</f>
        <v>0</v>
      </c>
      <c r="J192" s="47">
        <f>J111+J139+J191</f>
        <v>50239.77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3510099.6225000001</v>
      </c>
      <c r="G196" s="18">
        <v>1567356.085</v>
      </c>
      <c r="H196" s="18">
        <v>46917.09</v>
      </c>
      <c r="I196" s="18">
        <v>91678.94</v>
      </c>
      <c r="J196" s="18">
        <v>11587.44</v>
      </c>
      <c r="K196" s="18">
        <v>124</v>
      </c>
      <c r="L196" s="19">
        <f>SUM(F196:K196)</f>
        <v>5227763.1775000002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1527772.4624999999</v>
      </c>
      <c r="G197" s="18">
        <v>675091.83899999992</v>
      </c>
      <c r="H197" s="18">
        <v>113033.30350000001</v>
      </c>
      <c r="I197" s="18">
        <v>3342.25</v>
      </c>
      <c r="J197" s="18">
        <v>1477.6799999999998</v>
      </c>
      <c r="K197" s="18">
        <v>0</v>
      </c>
      <c r="L197" s="19">
        <f>SUM(F197:K197)</f>
        <v>2320717.5350000001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83312</v>
      </c>
      <c r="G199" s="18">
        <v>12094.36</v>
      </c>
      <c r="H199" s="18">
        <v>3734.38</v>
      </c>
      <c r="I199" s="18">
        <v>4155.6099999999997</v>
      </c>
      <c r="J199" s="18">
        <v>0</v>
      </c>
      <c r="K199" s="18">
        <v>915</v>
      </c>
      <c r="L199" s="19">
        <f>SUM(F199:K199)</f>
        <v>104211.35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463716.06999999995</v>
      </c>
      <c r="G201" s="18">
        <v>241417.47699999998</v>
      </c>
      <c r="H201" s="18">
        <v>74082.632500000007</v>
      </c>
      <c r="I201" s="18">
        <v>7254.6205000000009</v>
      </c>
      <c r="J201" s="18">
        <v>2506.4650000000001</v>
      </c>
      <c r="K201" s="18">
        <v>16.25</v>
      </c>
      <c r="L201" s="19">
        <f t="shared" ref="L201:L207" si="0">SUM(F201:K201)</f>
        <v>788993.51499999978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362388.25699999998</v>
      </c>
      <c r="G202" s="18">
        <v>166523.68899999998</v>
      </c>
      <c r="H202" s="18">
        <v>142644.0245</v>
      </c>
      <c r="I202" s="18">
        <v>46471.3465</v>
      </c>
      <c r="J202" s="18">
        <v>109504.37700000001</v>
      </c>
      <c r="K202" s="18">
        <v>3151.85</v>
      </c>
      <c r="L202" s="19">
        <f t="shared" si="0"/>
        <v>830683.54399999999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5330</v>
      </c>
      <c r="G203" s="18">
        <v>412.48350000000005</v>
      </c>
      <c r="H203" s="18">
        <v>512386.03649999999</v>
      </c>
      <c r="I203" s="18">
        <v>2315.7550000000001</v>
      </c>
      <c r="J203" s="18">
        <v>0</v>
      </c>
      <c r="K203" s="18">
        <v>5347.9465000000009</v>
      </c>
      <c r="L203" s="19">
        <f t="shared" si="0"/>
        <v>525792.22149999999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479462.91000000003</v>
      </c>
      <c r="G204" s="18">
        <v>245211.33</v>
      </c>
      <c r="H204" s="18">
        <v>12596.26</v>
      </c>
      <c r="I204" s="18">
        <v>3296.8624999999997</v>
      </c>
      <c r="J204" s="18">
        <v>0</v>
      </c>
      <c r="K204" s="18">
        <v>1864</v>
      </c>
      <c r="L204" s="19">
        <f t="shared" si="0"/>
        <v>742431.36250000005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8949.6875</v>
      </c>
      <c r="G205" s="18">
        <v>765.18000000000006</v>
      </c>
      <c r="H205" s="18">
        <v>0</v>
      </c>
      <c r="I205" s="18">
        <v>187.20000000000002</v>
      </c>
      <c r="J205" s="18">
        <v>2452.8724999999999</v>
      </c>
      <c r="K205" s="18">
        <v>0</v>
      </c>
      <c r="L205" s="19">
        <f t="shared" si="0"/>
        <v>12354.94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373588.74800000002</v>
      </c>
      <c r="G206" s="18">
        <v>206025.95449999999</v>
      </c>
      <c r="H206" s="18">
        <v>347965.02099999995</v>
      </c>
      <c r="I206" s="18">
        <v>259964.97950000002</v>
      </c>
      <c r="J206" s="18">
        <v>61556.076000000001</v>
      </c>
      <c r="K206" s="18">
        <v>0</v>
      </c>
      <c r="L206" s="19">
        <f t="shared" si="0"/>
        <v>1249100.7790000001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533019.01</v>
      </c>
      <c r="I207" s="18"/>
      <c r="J207" s="18"/>
      <c r="K207" s="18"/>
      <c r="L207" s="19">
        <f t="shared" si="0"/>
        <v>533019.01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>
        <v>403354.88699999999</v>
      </c>
      <c r="H208" s="18"/>
      <c r="I208" s="18"/>
      <c r="J208" s="18"/>
      <c r="K208" s="18"/>
      <c r="L208" s="19">
        <f>SUM(F208:K208)</f>
        <v>403354.88699999999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6814619.7575000003</v>
      </c>
      <c r="G210" s="41">
        <f t="shared" si="1"/>
        <v>3518253.2849999997</v>
      </c>
      <c r="H210" s="41">
        <f t="shared" si="1"/>
        <v>1786377.7579999999</v>
      </c>
      <c r="I210" s="41">
        <f t="shared" si="1"/>
        <v>418667.56400000001</v>
      </c>
      <c r="J210" s="41">
        <f t="shared" si="1"/>
        <v>189084.9105</v>
      </c>
      <c r="K210" s="41">
        <f t="shared" si="1"/>
        <v>11419.0465</v>
      </c>
      <c r="L210" s="41">
        <f t="shared" si="1"/>
        <v>12738422.3215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1736758.0075000001</v>
      </c>
      <c r="G232" s="18">
        <v>801642.35499999998</v>
      </c>
      <c r="H232" s="18">
        <v>6963.15</v>
      </c>
      <c r="I232" s="18">
        <v>94209.09</v>
      </c>
      <c r="J232" s="18">
        <v>16204.25</v>
      </c>
      <c r="K232" s="18">
        <v>0</v>
      </c>
      <c r="L232" s="19">
        <f>SUM(F232:K232)</f>
        <v>2655776.8524999996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421641.01749999996</v>
      </c>
      <c r="G233" s="18">
        <v>133528.361</v>
      </c>
      <c r="H233" s="18">
        <v>246389.2365</v>
      </c>
      <c r="I233" s="18">
        <v>1514.94</v>
      </c>
      <c r="J233" s="18">
        <v>613.20000000000005</v>
      </c>
      <c r="K233" s="18">
        <v>0</v>
      </c>
      <c r="L233" s="19">
        <f>SUM(F233:K233)</f>
        <v>803686.75499999989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72048.850000000006</v>
      </c>
      <c r="I234" s="18"/>
      <c r="J234" s="18"/>
      <c r="K234" s="18"/>
      <c r="L234" s="19">
        <f>SUM(F234:K234)</f>
        <v>72048.850000000006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181136</v>
      </c>
      <c r="G235" s="18">
        <v>29167.71</v>
      </c>
      <c r="H235" s="18">
        <v>53329.38</v>
      </c>
      <c r="I235" s="18">
        <v>15943.67</v>
      </c>
      <c r="J235" s="18">
        <v>14302.05</v>
      </c>
      <c r="K235" s="18">
        <v>10083.6</v>
      </c>
      <c r="L235" s="19">
        <f>SUM(F235:K235)</f>
        <v>303962.40999999992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306821.19</v>
      </c>
      <c r="G237" s="18">
        <v>177635.02299999999</v>
      </c>
      <c r="H237" s="18">
        <v>33438.207500000004</v>
      </c>
      <c r="I237" s="18">
        <v>6217.4894999999997</v>
      </c>
      <c r="J237" s="18">
        <v>1349.6349999999998</v>
      </c>
      <c r="K237" s="18">
        <v>8.75</v>
      </c>
      <c r="L237" s="19">
        <f t="shared" ref="L237:L243" si="4">SUM(F237:K237)</f>
        <v>525470.29500000004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177657.59299999996</v>
      </c>
      <c r="G238" s="18">
        <v>87081.240999999995</v>
      </c>
      <c r="H238" s="18">
        <v>85782.265500000009</v>
      </c>
      <c r="I238" s="18">
        <v>17336.053500000002</v>
      </c>
      <c r="J238" s="18">
        <v>59316.242999999995</v>
      </c>
      <c r="K238" s="18">
        <v>337.15</v>
      </c>
      <c r="L238" s="19">
        <f t="shared" si="4"/>
        <v>427510.54600000003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2870</v>
      </c>
      <c r="G239" s="18">
        <v>222.10649999999998</v>
      </c>
      <c r="H239" s="18">
        <v>275900.17349999998</v>
      </c>
      <c r="I239" s="18">
        <v>1246.9449999999997</v>
      </c>
      <c r="J239" s="18">
        <v>0</v>
      </c>
      <c r="K239" s="18">
        <v>2879.6634999999997</v>
      </c>
      <c r="L239" s="19">
        <f t="shared" si="4"/>
        <v>283118.8885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232198.77</v>
      </c>
      <c r="G240" s="18">
        <v>109112.25</v>
      </c>
      <c r="H240" s="18">
        <v>44810.79</v>
      </c>
      <c r="I240" s="18">
        <v>9271.6774999999998</v>
      </c>
      <c r="J240" s="18">
        <v>0</v>
      </c>
      <c r="K240" s="18">
        <v>7770</v>
      </c>
      <c r="L240" s="19">
        <f t="shared" si="4"/>
        <v>403163.48749999999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4819.0625</v>
      </c>
      <c r="G241" s="18">
        <v>412.02</v>
      </c>
      <c r="H241" s="18">
        <v>0</v>
      </c>
      <c r="I241" s="18">
        <v>100.79999999999998</v>
      </c>
      <c r="J241" s="18">
        <v>1320.7775000000001</v>
      </c>
      <c r="K241" s="18">
        <v>0</v>
      </c>
      <c r="L241" s="19">
        <f t="shared" si="4"/>
        <v>6652.6600000000008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184457.04200000002</v>
      </c>
      <c r="G242" s="18">
        <v>103751.4155</v>
      </c>
      <c r="H242" s="18">
        <v>227636.64899999998</v>
      </c>
      <c r="I242" s="18">
        <v>205471.09049999999</v>
      </c>
      <c r="J242" s="18">
        <v>160227.99400000001</v>
      </c>
      <c r="K242" s="18">
        <v>0</v>
      </c>
      <c r="L242" s="19">
        <f t="shared" si="4"/>
        <v>881544.19099999988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379724.14</v>
      </c>
      <c r="I243" s="18"/>
      <c r="J243" s="18"/>
      <c r="K243" s="18"/>
      <c r="L243" s="19">
        <f t="shared" si="4"/>
        <v>379724.14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>
        <v>217191.09299999999</v>
      </c>
      <c r="H244" s="18"/>
      <c r="I244" s="18"/>
      <c r="J244" s="18"/>
      <c r="K244" s="18"/>
      <c r="L244" s="19">
        <f>SUM(F244:K244)</f>
        <v>217191.09299999999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3248358.6824999996</v>
      </c>
      <c r="G246" s="41">
        <f t="shared" si="5"/>
        <v>1659743.5749999997</v>
      </c>
      <c r="H246" s="41">
        <f t="shared" si="5"/>
        <v>1426022.8420000002</v>
      </c>
      <c r="I246" s="41">
        <f t="shared" si="5"/>
        <v>351311.75599999994</v>
      </c>
      <c r="J246" s="41">
        <f t="shared" si="5"/>
        <v>253334.1495</v>
      </c>
      <c r="K246" s="41">
        <f t="shared" si="5"/>
        <v>21079.163499999999</v>
      </c>
      <c r="L246" s="41">
        <f t="shared" si="5"/>
        <v>6959850.1684999997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10062978.439999999</v>
      </c>
      <c r="G256" s="41">
        <f t="shared" si="8"/>
        <v>5177996.8599999994</v>
      </c>
      <c r="H256" s="41">
        <f t="shared" si="8"/>
        <v>3212400.6</v>
      </c>
      <c r="I256" s="41">
        <f t="shared" si="8"/>
        <v>769979.32</v>
      </c>
      <c r="J256" s="41">
        <f t="shared" si="8"/>
        <v>442419.06</v>
      </c>
      <c r="K256" s="41">
        <f t="shared" si="8"/>
        <v>32498.21</v>
      </c>
      <c r="L256" s="41">
        <f t="shared" si="8"/>
        <v>19698272.489999998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50000</v>
      </c>
      <c r="L265" s="19">
        <f t="shared" si="9"/>
        <v>50000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50000</v>
      </c>
      <c r="L269" s="41">
        <f t="shared" si="9"/>
        <v>50000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10062978.439999999</v>
      </c>
      <c r="G270" s="42">
        <f t="shared" si="11"/>
        <v>5177996.8599999994</v>
      </c>
      <c r="H270" s="42">
        <f t="shared" si="11"/>
        <v>3212400.6</v>
      </c>
      <c r="I270" s="42">
        <f t="shared" si="11"/>
        <v>769979.32</v>
      </c>
      <c r="J270" s="42">
        <f t="shared" si="11"/>
        <v>442419.06</v>
      </c>
      <c r="K270" s="42">
        <f t="shared" si="11"/>
        <v>82498.209999999992</v>
      </c>
      <c r="L270" s="42">
        <f t="shared" si="11"/>
        <v>19748272.489999998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139701.47099999999</v>
      </c>
      <c r="G275" s="18">
        <v>33543.789499999999</v>
      </c>
      <c r="H275" s="18">
        <v>4330.5</v>
      </c>
      <c r="I275" s="18">
        <v>1194.1605000000002</v>
      </c>
      <c r="J275" s="18">
        <v>4172.2719999999999</v>
      </c>
      <c r="K275" s="18">
        <v>0</v>
      </c>
      <c r="L275" s="19">
        <f>SUM(F275:K275)</f>
        <v>182942.19299999997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0</v>
      </c>
      <c r="G278" s="18">
        <v>0</v>
      </c>
      <c r="H278" s="18">
        <v>208</v>
      </c>
      <c r="I278" s="18">
        <v>0</v>
      </c>
      <c r="J278" s="18">
        <v>0</v>
      </c>
      <c r="K278" s="18">
        <v>0</v>
      </c>
      <c r="L278" s="19">
        <f>SUM(F278:K278)</f>
        <v>208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0</v>
      </c>
      <c r="G280" s="18">
        <v>0</v>
      </c>
      <c r="H280" s="18">
        <v>0</v>
      </c>
      <c r="I280" s="18">
        <v>168.36949999999999</v>
      </c>
      <c r="J280" s="18">
        <v>0</v>
      </c>
      <c r="K280" s="18">
        <v>0</v>
      </c>
      <c r="L280" s="19">
        <f t="shared" ref="L280:L286" si="12">SUM(F280:K280)</f>
        <v>168.36949999999999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0</v>
      </c>
      <c r="G281" s="18">
        <v>0</v>
      </c>
      <c r="H281" s="18">
        <v>45103.051500000001</v>
      </c>
      <c r="I281" s="18">
        <v>845.31850000000009</v>
      </c>
      <c r="J281" s="18">
        <v>6554.6454999999996</v>
      </c>
      <c r="K281" s="18">
        <v>0</v>
      </c>
      <c r="L281" s="19">
        <f t="shared" si="12"/>
        <v>52503.015500000001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9896.1329999999998</v>
      </c>
      <c r="L282" s="19">
        <f t="shared" si="12"/>
        <v>9896.1329999999998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v>894.25</v>
      </c>
      <c r="I286" s="18"/>
      <c r="J286" s="18"/>
      <c r="K286" s="18"/>
      <c r="L286" s="19">
        <f t="shared" si="12"/>
        <v>894.25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139701.47099999999</v>
      </c>
      <c r="G289" s="42">
        <f t="shared" si="13"/>
        <v>33543.789499999999</v>
      </c>
      <c r="H289" s="42">
        <f t="shared" si="13"/>
        <v>50535.801500000001</v>
      </c>
      <c r="I289" s="42">
        <f t="shared" si="13"/>
        <v>2207.8485000000001</v>
      </c>
      <c r="J289" s="42">
        <f t="shared" si="13"/>
        <v>10726.9175</v>
      </c>
      <c r="K289" s="42">
        <f t="shared" si="13"/>
        <v>9896.1329999999998</v>
      </c>
      <c r="L289" s="41">
        <f t="shared" si="13"/>
        <v>246611.96099999998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75223.869000000006</v>
      </c>
      <c r="G313" s="18">
        <v>18062.040500000003</v>
      </c>
      <c r="H313" s="18">
        <v>0</v>
      </c>
      <c r="I313" s="18">
        <v>643.00949999999989</v>
      </c>
      <c r="J313" s="18">
        <v>2246.6080000000002</v>
      </c>
      <c r="K313" s="18">
        <v>0</v>
      </c>
      <c r="L313" s="19">
        <f>SUM(F313:K313)</f>
        <v>96175.527000000002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0</v>
      </c>
      <c r="G316" s="18">
        <v>0</v>
      </c>
      <c r="H316" s="18">
        <v>112</v>
      </c>
      <c r="I316" s="18">
        <v>0</v>
      </c>
      <c r="J316" s="18">
        <v>0</v>
      </c>
      <c r="K316" s="18">
        <v>0</v>
      </c>
      <c r="L316" s="19">
        <f>SUM(F316:K316)</f>
        <v>112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0</v>
      </c>
      <c r="G318" s="18">
        <v>0</v>
      </c>
      <c r="H318" s="18">
        <v>0</v>
      </c>
      <c r="I318" s="18">
        <v>90.660499999999985</v>
      </c>
      <c r="J318" s="18">
        <v>0</v>
      </c>
      <c r="K318" s="18">
        <v>0</v>
      </c>
      <c r="L318" s="19">
        <f t="shared" ref="L318:L324" si="16">SUM(F318:K318)</f>
        <v>90.660499999999985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0</v>
      </c>
      <c r="G319" s="18">
        <v>0</v>
      </c>
      <c r="H319" s="18">
        <v>24286.258499999996</v>
      </c>
      <c r="I319" s="18">
        <v>455.17149999999992</v>
      </c>
      <c r="J319" s="18">
        <v>3529.4245000000001</v>
      </c>
      <c r="K319" s="18">
        <v>0</v>
      </c>
      <c r="L319" s="19">
        <f t="shared" si="16"/>
        <v>28270.854499999998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18">
        <v>5328.6869999999999</v>
      </c>
      <c r="L320" s="19">
        <f t="shared" si="16"/>
        <v>5328.6869999999999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>
        <v>50.75</v>
      </c>
      <c r="I324" s="18"/>
      <c r="J324" s="18"/>
      <c r="K324" s="18"/>
      <c r="L324" s="19">
        <f t="shared" si="16"/>
        <v>50.75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75223.869000000006</v>
      </c>
      <c r="G327" s="42">
        <f t="shared" si="17"/>
        <v>18062.040500000003</v>
      </c>
      <c r="H327" s="42">
        <f t="shared" si="17"/>
        <v>24449.008499999996</v>
      </c>
      <c r="I327" s="42">
        <f t="shared" si="17"/>
        <v>1188.8414999999998</v>
      </c>
      <c r="J327" s="42">
        <f t="shared" si="17"/>
        <v>5776.0325000000003</v>
      </c>
      <c r="K327" s="42">
        <f t="shared" si="17"/>
        <v>5328.6869999999999</v>
      </c>
      <c r="L327" s="41">
        <f t="shared" si="17"/>
        <v>130028.47900000001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214925.34</v>
      </c>
      <c r="G337" s="41">
        <f t="shared" si="20"/>
        <v>51605.83</v>
      </c>
      <c r="H337" s="41">
        <f t="shared" si="20"/>
        <v>74984.81</v>
      </c>
      <c r="I337" s="41">
        <f t="shared" si="20"/>
        <v>3396.6899999999996</v>
      </c>
      <c r="J337" s="41">
        <f t="shared" si="20"/>
        <v>16502.95</v>
      </c>
      <c r="K337" s="41">
        <f t="shared" si="20"/>
        <v>15224.82</v>
      </c>
      <c r="L337" s="41">
        <f t="shared" si="20"/>
        <v>376640.44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214925.34</v>
      </c>
      <c r="G351" s="41">
        <f>G337</f>
        <v>51605.83</v>
      </c>
      <c r="H351" s="41">
        <f>H337</f>
        <v>74984.81</v>
      </c>
      <c r="I351" s="41">
        <f>I337</f>
        <v>3396.6899999999996</v>
      </c>
      <c r="J351" s="41">
        <f>J337</f>
        <v>16502.95</v>
      </c>
      <c r="K351" s="47">
        <f>K337+K350</f>
        <v>15224.82</v>
      </c>
      <c r="L351" s="41">
        <f>L337+L350</f>
        <v>376640.44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2201.66</v>
      </c>
      <c r="G357" s="18">
        <f>168.41+12.87</f>
        <v>181.28</v>
      </c>
      <c r="H357" s="18">
        <v>280188.34999999998</v>
      </c>
      <c r="I357" s="18">
        <v>39.96</v>
      </c>
      <c r="J357" s="18"/>
      <c r="K357" s="18">
        <v>624.52</v>
      </c>
      <c r="L357" s="13">
        <f>SUM(F357:K357)</f>
        <v>283235.77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>
        <f>431059-H357</f>
        <v>150870.65000000002</v>
      </c>
      <c r="I359" s="18">
        <f>61.47-I357</f>
        <v>21.509999999999998</v>
      </c>
      <c r="J359" s="18"/>
      <c r="K359" s="18">
        <f>960.8-K357</f>
        <v>336.28</v>
      </c>
      <c r="L359" s="19">
        <f>SUM(F359:K359)</f>
        <v>151228.44000000003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2201.66</v>
      </c>
      <c r="G361" s="47">
        <f t="shared" si="22"/>
        <v>181.28</v>
      </c>
      <c r="H361" s="47">
        <f t="shared" si="22"/>
        <v>431059</v>
      </c>
      <c r="I361" s="47">
        <f t="shared" si="22"/>
        <v>61.47</v>
      </c>
      <c r="J361" s="47">
        <f t="shared" si="22"/>
        <v>0</v>
      </c>
      <c r="K361" s="47">
        <f t="shared" si="22"/>
        <v>960.8</v>
      </c>
      <c r="L361" s="47">
        <f t="shared" si="22"/>
        <v>434464.21000000008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39.96</v>
      </c>
      <c r="G367" s="63"/>
      <c r="H367" s="63">
        <v>21.51</v>
      </c>
      <c r="I367" s="56">
        <f>SUM(F367:H367)</f>
        <v>61.47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39.96</v>
      </c>
      <c r="G368" s="47">
        <f>SUM(G366:G367)</f>
        <v>0</v>
      </c>
      <c r="H368" s="47">
        <f>SUM(H366:H367)</f>
        <v>21.51</v>
      </c>
      <c r="I368" s="47">
        <f>SUM(I366:I367)</f>
        <v>61.47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>
        <v>52.69</v>
      </c>
      <c r="I394" s="18"/>
      <c r="J394" s="24" t="s">
        <v>289</v>
      </c>
      <c r="K394" s="24" t="s">
        <v>289</v>
      </c>
      <c r="L394" s="56">
        <f t="shared" ref="L394:L399" si="26">SUM(F394:K394)</f>
        <v>52.69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107.35</v>
      </c>
      <c r="I395" s="18"/>
      <c r="J395" s="24" t="s">
        <v>289</v>
      </c>
      <c r="K395" s="24" t="s">
        <v>289</v>
      </c>
      <c r="L395" s="56">
        <f t="shared" si="26"/>
        <v>107.35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55.06</v>
      </c>
      <c r="I396" s="18"/>
      <c r="J396" s="24" t="s">
        <v>289</v>
      </c>
      <c r="K396" s="24" t="s">
        <v>289</v>
      </c>
      <c r="L396" s="56">
        <f t="shared" si="26"/>
        <v>55.06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>
        <v>50000</v>
      </c>
      <c r="H399" s="18">
        <v>24.67</v>
      </c>
      <c r="I399" s="18"/>
      <c r="J399" s="24" t="s">
        <v>289</v>
      </c>
      <c r="K399" s="24" t="s">
        <v>289</v>
      </c>
      <c r="L399" s="56">
        <f t="shared" si="26"/>
        <v>50024.67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50000</v>
      </c>
      <c r="H400" s="47">
        <f>SUM(H394:H399)</f>
        <v>239.76999999999998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50239.77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50000</v>
      </c>
      <c r="H407" s="47">
        <f>H392+H400+H406</f>
        <v>239.76999999999998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50239.77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612002.6</v>
      </c>
      <c r="G438" s="18"/>
      <c r="H438" s="18"/>
      <c r="I438" s="56">
        <f t="shared" ref="I438:I444" si="33">SUM(F438:H438)</f>
        <v>612002.6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>
        <v>25000</v>
      </c>
      <c r="G440" s="18"/>
      <c r="H440" s="18"/>
      <c r="I440" s="56">
        <f t="shared" si="33"/>
        <v>25000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637002.6</v>
      </c>
      <c r="G445" s="13">
        <f>SUM(G438:G444)</f>
        <v>0</v>
      </c>
      <c r="H445" s="13">
        <f>SUM(H438:H444)</f>
        <v>0</v>
      </c>
      <c r="I445" s="13">
        <f>SUM(I438:I444)</f>
        <v>637002.6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>
        <v>25000</v>
      </c>
      <c r="G447" s="18"/>
      <c r="H447" s="18"/>
      <c r="I447" s="56">
        <f>SUM(F447:H447)</f>
        <v>25000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25000</v>
      </c>
      <c r="G451" s="72">
        <f>SUM(G447:G450)</f>
        <v>0</v>
      </c>
      <c r="H451" s="72">
        <f>SUM(H447:H450)</f>
        <v>0</v>
      </c>
      <c r="I451" s="72">
        <f>SUM(I447:I450)</f>
        <v>25000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612002.6</v>
      </c>
      <c r="G458" s="18"/>
      <c r="H458" s="18"/>
      <c r="I458" s="56">
        <f t="shared" si="34"/>
        <v>612002.6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612002.6</v>
      </c>
      <c r="G459" s="83">
        <f>SUM(G453:G458)</f>
        <v>0</v>
      </c>
      <c r="H459" s="83">
        <f>SUM(H453:H458)</f>
        <v>0</v>
      </c>
      <c r="I459" s="83">
        <f>SUM(I453:I458)</f>
        <v>612002.6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637002.6</v>
      </c>
      <c r="G460" s="42">
        <f>G451+G459</f>
        <v>0</v>
      </c>
      <c r="H460" s="42">
        <f>H451+H459</f>
        <v>0</v>
      </c>
      <c r="I460" s="42">
        <f>I451+I459</f>
        <v>637002.6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1038987.2</v>
      </c>
      <c r="G464" s="18">
        <v>24085.08</v>
      </c>
      <c r="H464" s="18">
        <v>1149.92</v>
      </c>
      <c r="I464" s="18">
        <v>3231.11</v>
      </c>
      <c r="J464" s="18">
        <v>561759.35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19325816.859999999</v>
      </c>
      <c r="G467" s="18">
        <v>426438.29</v>
      </c>
      <c r="H467" s="18">
        <v>410296.55</v>
      </c>
      <c r="I467" s="18"/>
      <c r="J467" s="18">
        <v>50239.77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>
        <v>3.48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19325816.859999999</v>
      </c>
      <c r="G469" s="53">
        <f>SUM(G467:G468)</f>
        <v>426438.29</v>
      </c>
      <c r="H469" s="53">
        <f>SUM(H467:H468)</f>
        <v>410296.55</v>
      </c>
      <c r="I469" s="53">
        <f>SUM(I467:I468)</f>
        <v>0</v>
      </c>
      <c r="J469" s="53">
        <f>SUM(J467:J468)</f>
        <v>50243.25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19748272.489999998</v>
      </c>
      <c r="G471" s="18">
        <v>434464.21</v>
      </c>
      <c r="H471" s="18">
        <v>376640.44</v>
      </c>
      <c r="I471" s="18"/>
      <c r="J471" s="18"/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19748272.489999998</v>
      </c>
      <c r="G473" s="53">
        <f>SUM(G471:G472)</f>
        <v>434464.21</v>
      </c>
      <c r="H473" s="53">
        <f>SUM(H471:H472)</f>
        <v>376640.44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616531.5700000003</v>
      </c>
      <c r="G475" s="53">
        <f>(G464+G469)- G473</f>
        <v>16059.159999999974</v>
      </c>
      <c r="H475" s="53">
        <f>(H464+H469)- H473</f>
        <v>34806.02999999997</v>
      </c>
      <c r="I475" s="53">
        <f>(I464+I469)- I473</f>
        <v>3231.11</v>
      </c>
      <c r="J475" s="53">
        <f>(J464+J469)- J473</f>
        <v>612002.6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 t="s">
        <v>910</v>
      </c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1527772.4624999999</v>
      </c>
      <c r="G520" s="18">
        <v>675091.83899999992</v>
      </c>
      <c r="H520" s="18">
        <v>113033.30350000001</v>
      </c>
      <c r="I520" s="18">
        <v>3342.25</v>
      </c>
      <c r="J520" s="18">
        <v>1477.6799999999998</v>
      </c>
      <c r="K520" s="18"/>
      <c r="L520" s="88">
        <f>SUM(F520:K520)</f>
        <v>2320717.5350000001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421641.01749999996</v>
      </c>
      <c r="G522" s="18">
        <v>133528.361</v>
      </c>
      <c r="H522" s="18">
        <v>246389.2365</v>
      </c>
      <c r="I522" s="18">
        <v>1514.94</v>
      </c>
      <c r="J522" s="18">
        <v>613.20000000000005</v>
      </c>
      <c r="K522" s="18"/>
      <c r="L522" s="88">
        <f>SUM(F522:K522)</f>
        <v>803686.75499999989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1949413.48</v>
      </c>
      <c r="G523" s="108">
        <f t="shared" ref="G523:L523" si="36">SUM(G520:G522)</f>
        <v>808620.2</v>
      </c>
      <c r="H523" s="108">
        <f t="shared" si="36"/>
        <v>359422.54000000004</v>
      </c>
      <c r="I523" s="108">
        <f t="shared" si="36"/>
        <v>4857.1900000000005</v>
      </c>
      <c r="J523" s="108">
        <f t="shared" si="36"/>
        <v>2090.88</v>
      </c>
      <c r="K523" s="108">
        <f t="shared" si="36"/>
        <v>0</v>
      </c>
      <c r="L523" s="89">
        <f t="shared" si="36"/>
        <v>3124404.29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305136.08799999999</v>
      </c>
      <c r="G525" s="18">
        <v>166552.13589999999</v>
      </c>
      <c r="H525" s="18">
        <v>68619.284500000009</v>
      </c>
      <c r="I525" s="18">
        <v>3839.1025</v>
      </c>
      <c r="J525" s="18">
        <v>2506.4650000000001</v>
      </c>
      <c r="K525" s="18">
        <v>6.5</v>
      </c>
      <c r="L525" s="88">
        <f>SUM(F525:K525)</f>
        <v>546659.57589999994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187155.21599999999</v>
      </c>
      <c r="G527" s="18">
        <v>116240.4286</v>
      </c>
      <c r="H527" s="18">
        <v>23046.1355</v>
      </c>
      <c r="I527" s="18">
        <v>3142.3815000000004</v>
      </c>
      <c r="J527" s="18">
        <v>1349.635</v>
      </c>
      <c r="K527" s="18">
        <v>3.5</v>
      </c>
      <c r="L527" s="88">
        <f>SUM(F527:K527)</f>
        <v>330937.2966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492291.304</v>
      </c>
      <c r="G528" s="89">
        <f t="shared" ref="G528:L528" si="37">SUM(G525:G527)</f>
        <v>282792.56449999998</v>
      </c>
      <c r="H528" s="89">
        <f t="shared" si="37"/>
        <v>91665.420000000013</v>
      </c>
      <c r="I528" s="89">
        <f t="shared" si="37"/>
        <v>6981.4840000000004</v>
      </c>
      <c r="J528" s="89">
        <f t="shared" si="37"/>
        <v>3856.1000000000004</v>
      </c>
      <c r="K528" s="89">
        <f t="shared" si="37"/>
        <v>10</v>
      </c>
      <c r="L528" s="89">
        <f t="shared" si="37"/>
        <v>877596.87249999994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84720.35</v>
      </c>
      <c r="I530" s="18"/>
      <c r="J530" s="18"/>
      <c r="K530" s="18"/>
      <c r="L530" s="88">
        <f>SUM(F530:K530)</f>
        <v>84720.35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>
        <v>45618.649999999994</v>
      </c>
      <c r="I532" s="18"/>
      <c r="J532" s="18"/>
      <c r="K532" s="18"/>
      <c r="L532" s="88">
        <f>SUM(F532:K532)</f>
        <v>45618.649999999994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130339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130339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1257.49</v>
      </c>
      <c r="I535" s="18"/>
      <c r="J535" s="18"/>
      <c r="K535" s="18"/>
      <c r="L535" s="88">
        <f>SUM(F535:K535)</f>
        <v>1257.49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677.1099999999999</v>
      </c>
      <c r="I537" s="18"/>
      <c r="J537" s="18"/>
      <c r="K537" s="18"/>
      <c r="L537" s="88">
        <f>SUM(F537:K537)</f>
        <v>677.1099999999999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1934.6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1934.6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40478.26</v>
      </c>
      <c r="I540" s="18"/>
      <c r="J540" s="18"/>
      <c r="K540" s="18"/>
      <c r="L540" s="88">
        <f>SUM(F540:K540)</f>
        <v>40478.26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49938.2</v>
      </c>
      <c r="I542" s="18"/>
      <c r="J542" s="18"/>
      <c r="K542" s="18"/>
      <c r="L542" s="88">
        <f>SUM(F542:K542)</f>
        <v>49938.2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90416.459999999992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90416.459999999992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2441704.784</v>
      </c>
      <c r="G544" s="89">
        <f t="shared" ref="G544:L544" si="41">G523+G528+G533+G538+G543</f>
        <v>1091412.7645</v>
      </c>
      <c r="H544" s="89">
        <f t="shared" si="41"/>
        <v>673778.02</v>
      </c>
      <c r="I544" s="89">
        <f t="shared" si="41"/>
        <v>11838.674000000001</v>
      </c>
      <c r="J544" s="89">
        <f t="shared" si="41"/>
        <v>5946.9800000000005</v>
      </c>
      <c r="K544" s="89">
        <f t="shared" si="41"/>
        <v>10</v>
      </c>
      <c r="L544" s="89">
        <f t="shared" si="41"/>
        <v>4224691.2225000001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2320717.5350000001</v>
      </c>
      <c r="G548" s="87">
        <f>L525</f>
        <v>546659.57589999994</v>
      </c>
      <c r="H548" s="87">
        <f>L530</f>
        <v>84720.35</v>
      </c>
      <c r="I548" s="87">
        <f>L535</f>
        <v>1257.49</v>
      </c>
      <c r="J548" s="87">
        <f>L540</f>
        <v>40478.26</v>
      </c>
      <c r="K548" s="87">
        <f>SUM(F548:J548)</f>
        <v>2993833.2109000003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803686.75499999989</v>
      </c>
      <c r="G550" s="87">
        <f>L527</f>
        <v>330937.2966</v>
      </c>
      <c r="H550" s="87">
        <f>L532</f>
        <v>45618.649999999994</v>
      </c>
      <c r="I550" s="87">
        <f>L537</f>
        <v>677.1099999999999</v>
      </c>
      <c r="J550" s="87">
        <f>L542</f>
        <v>49938.2</v>
      </c>
      <c r="K550" s="87">
        <f>SUM(F550:J550)</f>
        <v>1230858.0115999999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3124404.29</v>
      </c>
      <c r="G551" s="89">
        <f t="shared" si="42"/>
        <v>877596.87249999994</v>
      </c>
      <c r="H551" s="89">
        <f t="shared" si="42"/>
        <v>130339</v>
      </c>
      <c r="I551" s="89">
        <f t="shared" si="42"/>
        <v>1934.6</v>
      </c>
      <c r="J551" s="89">
        <f t="shared" si="42"/>
        <v>90416.459999999992</v>
      </c>
      <c r="K551" s="89">
        <f t="shared" si="42"/>
        <v>4224691.2225000001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19246.830000000002</v>
      </c>
      <c r="G561" s="18">
        <v>4049.75</v>
      </c>
      <c r="H561" s="18"/>
      <c r="I561" s="18"/>
      <c r="J561" s="18"/>
      <c r="K561" s="18"/>
      <c r="L561" s="88">
        <f>SUM(F561:K561)</f>
        <v>23296.58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f>29610.5-F561</f>
        <v>10363.669999999998</v>
      </c>
      <c r="G563" s="18">
        <f>6230.38-G561</f>
        <v>2180.63</v>
      </c>
      <c r="H563" s="18"/>
      <c r="I563" s="18"/>
      <c r="J563" s="18"/>
      <c r="K563" s="18"/>
      <c r="L563" s="88">
        <f>SUM(F563:K563)</f>
        <v>12544.3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29610.5</v>
      </c>
      <c r="G564" s="89">
        <f t="shared" si="44"/>
        <v>6230.38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35840.880000000005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29610.5</v>
      </c>
      <c r="G570" s="89">
        <f t="shared" ref="G570:L570" si="46">G559+G564+G569</f>
        <v>6230.38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35840.880000000005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f>1279.93+6253</f>
        <v>7532.93</v>
      </c>
      <c r="G578" s="18"/>
      <c r="H578" s="18">
        <v>38530.18</v>
      </c>
      <c r="I578" s="87">
        <f t="shared" si="47"/>
        <v>46063.11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82976.62</v>
      </c>
      <c r="G581" s="18"/>
      <c r="H581" s="18">
        <v>195860.79</v>
      </c>
      <c r="I581" s="87">
        <f t="shared" si="47"/>
        <v>278837.41000000003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72048.850000000006</v>
      </c>
      <c r="I583" s="87">
        <f t="shared" si="47"/>
        <v>72048.850000000006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449330.05</v>
      </c>
      <c r="I590" s="18"/>
      <c r="J590" s="18">
        <f>691277-H590</f>
        <v>241946.95</v>
      </c>
      <c r="K590" s="104">
        <f t="shared" ref="K590:K596" si="48">SUM(H590:J590)</f>
        <v>691277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40478.26</v>
      </c>
      <c r="I591" s="18"/>
      <c r="J591" s="18">
        <v>49938.2</v>
      </c>
      <c r="K591" s="104">
        <f t="shared" si="48"/>
        <v>90416.459999999992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10942</v>
      </c>
      <c r="K592" s="104">
        <f t="shared" si="48"/>
        <v>10942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>
        <v>57669.46</v>
      </c>
      <c r="K593" s="104">
        <f t="shared" si="48"/>
        <v>57669.46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f>4196.75+2373.55+22619.97+496.67</f>
        <v>29686.94</v>
      </c>
      <c r="I594" s="18"/>
      <c r="J594" s="18">
        <f>13821.63+267.43</f>
        <v>14089.06</v>
      </c>
      <c r="K594" s="104">
        <f t="shared" si="48"/>
        <v>43776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f>3980.91+9542.85</f>
        <v>13523.76</v>
      </c>
      <c r="I596" s="18"/>
      <c r="J596" s="18">
        <v>5138.47</v>
      </c>
      <c r="K596" s="104">
        <f t="shared" si="48"/>
        <v>18662.23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533019.01</v>
      </c>
      <c r="I597" s="108">
        <f>SUM(I590:I596)</f>
        <v>0</v>
      </c>
      <c r="J597" s="108">
        <f>SUM(J590:J596)</f>
        <v>379724.14</v>
      </c>
      <c r="K597" s="108">
        <f>SUM(K590:K596)</f>
        <v>912743.14999999991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200698.01</v>
      </c>
      <c r="I603" s="18"/>
      <c r="J603" s="18">
        <v>258224</v>
      </c>
      <c r="K603" s="104">
        <f>SUM(H603:J603)</f>
        <v>458922.01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200698.01</v>
      </c>
      <c r="I604" s="108">
        <f>SUM(I601:I603)</f>
        <v>0</v>
      </c>
      <c r="J604" s="108">
        <f>SUM(J601:J603)</f>
        <v>258224</v>
      </c>
      <c r="K604" s="108">
        <f>SUM(K601:K603)</f>
        <v>458922.01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f>19240+3712</f>
        <v>22952</v>
      </c>
      <c r="G610" s="18">
        <f>1755.9+351.28+2023.83+20.41</f>
        <v>4151.42</v>
      </c>
      <c r="H610" s="18"/>
      <c r="I610" s="18">
        <v>549.88</v>
      </c>
      <c r="J610" s="18"/>
      <c r="K610" s="18"/>
      <c r="L610" s="88">
        <f>SUM(F610:K610)</f>
        <v>27653.3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22952</v>
      </c>
      <c r="G613" s="108">
        <f t="shared" si="49"/>
        <v>4151.42</v>
      </c>
      <c r="H613" s="108">
        <f t="shared" si="49"/>
        <v>0</v>
      </c>
      <c r="I613" s="108">
        <f t="shared" si="49"/>
        <v>549.88</v>
      </c>
      <c r="J613" s="108">
        <f t="shared" si="49"/>
        <v>0</v>
      </c>
      <c r="K613" s="108">
        <f t="shared" si="49"/>
        <v>0</v>
      </c>
      <c r="L613" s="89">
        <f t="shared" si="49"/>
        <v>27653.3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5722648.6200000001</v>
      </c>
      <c r="H616" s="109">
        <f>SUM(F51)</f>
        <v>5722648.6200000001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2376668.41</v>
      </c>
      <c r="H617" s="109">
        <f>SUM(G51)</f>
        <v>2376668.41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2517349.3400000003</v>
      </c>
      <c r="H618" s="109">
        <f>SUM(H51)</f>
        <v>2517349.3399999994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3253.4900000000002</v>
      </c>
      <c r="H619" s="109">
        <f>SUM(I51)</f>
        <v>3253.4900000000002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637002.6</v>
      </c>
      <c r="H620" s="109">
        <f>SUM(J51)</f>
        <v>637002.6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616531.57000000007</v>
      </c>
      <c r="H621" s="109">
        <f>F475</f>
        <v>616531.5700000003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16059.16</v>
      </c>
      <c r="H622" s="109">
        <f>G475</f>
        <v>16059.159999999974</v>
      </c>
      <c r="I622" s="121" t="s">
        <v>102</v>
      </c>
      <c r="J622" s="109">
        <f t="shared" si="50"/>
        <v>2.5465851649641991E-11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34806.03</v>
      </c>
      <c r="H623" s="109">
        <f>H475</f>
        <v>34806.02999999997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3231.11</v>
      </c>
      <c r="H624" s="109">
        <f>I475</f>
        <v>3231.11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612002.6</v>
      </c>
      <c r="H625" s="109">
        <f>J475</f>
        <v>612002.6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19325816.859999999</v>
      </c>
      <c r="H626" s="104">
        <f>SUM(F467)</f>
        <v>19325816.859999999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426438.29000000004</v>
      </c>
      <c r="H627" s="104">
        <f>SUM(G467)</f>
        <v>426438.29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410296.55</v>
      </c>
      <c r="H628" s="104">
        <f>SUM(H467)</f>
        <v>410296.55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50239.77</v>
      </c>
      <c r="H630" s="104">
        <f>SUM(J467)</f>
        <v>50239.77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19748272.489999998</v>
      </c>
      <c r="H631" s="104">
        <f>SUM(F471)</f>
        <v>19748272.489999998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376640.44</v>
      </c>
      <c r="H632" s="104">
        <f>SUM(H471)</f>
        <v>376640.44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61.47</v>
      </c>
      <c r="H633" s="104">
        <f>I368</f>
        <v>61.47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434464.21000000008</v>
      </c>
      <c r="H634" s="104">
        <f>SUM(G471)</f>
        <v>434464.21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50239.77</v>
      </c>
      <c r="H636" s="164">
        <f>SUM(J467)</f>
        <v>50239.77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637002.6</v>
      </c>
      <c r="H638" s="104">
        <f>SUM(F460)</f>
        <v>637002.6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637002.6</v>
      </c>
      <c r="H641" s="104">
        <f>SUM(I460)</f>
        <v>637002.6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239.77</v>
      </c>
      <c r="H643" s="104">
        <f>H407</f>
        <v>239.76999999999998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50000</v>
      </c>
      <c r="H644" s="104">
        <f>G407</f>
        <v>50000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50239.77</v>
      </c>
      <c r="H645" s="104">
        <f>L407</f>
        <v>50239.77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912743.14999999991</v>
      </c>
      <c r="H646" s="104">
        <f>L207+L225+L243</f>
        <v>912743.15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458922.01</v>
      </c>
      <c r="H647" s="104">
        <f>(J256+J337)-(J254+J335)</f>
        <v>458922.01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533019.01</v>
      </c>
      <c r="H648" s="104">
        <f>H597</f>
        <v>533019.01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379724.14</v>
      </c>
      <c r="H650" s="104">
        <f>J597</f>
        <v>379724.14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50000</v>
      </c>
      <c r="H654" s="104">
        <f>K265+K346</f>
        <v>50000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13268270.052499998</v>
      </c>
      <c r="G659" s="19">
        <f>(L228+L308+L358)</f>
        <v>0</v>
      </c>
      <c r="H659" s="19">
        <f>(L246+L327+L359)</f>
        <v>7241107.0875000004</v>
      </c>
      <c r="I659" s="19">
        <f>SUM(F659:H659)</f>
        <v>20509377.140000001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143350.42348958729</v>
      </c>
      <c r="G660" s="19">
        <f>(L358/IF(SUM(L357:L359)=0,1,SUM(L357:L359))*(SUM(G96:G109)))</f>
        <v>0</v>
      </c>
      <c r="H660" s="19">
        <f>(L359/IF(SUM(L357:L359)=0,1,SUM(L357:L359))*(SUM(G96:G109)))</f>
        <v>76539.276510412674</v>
      </c>
      <c r="I660" s="19">
        <f>SUM(F660:H660)</f>
        <v>219889.69999999995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533913.26</v>
      </c>
      <c r="G661" s="19">
        <f>(L225+L305)-(J225+J305)</f>
        <v>0</v>
      </c>
      <c r="H661" s="19">
        <f>(L243+L324)-(J243+J324)</f>
        <v>379774.89</v>
      </c>
      <c r="I661" s="19">
        <f>SUM(F661:H661)</f>
        <v>913688.15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318860.86</v>
      </c>
      <c r="G662" s="199">
        <f>SUM(G574:G586)+SUM(I601:I603)+L611</f>
        <v>0</v>
      </c>
      <c r="H662" s="199">
        <f>SUM(H574:H586)+SUM(J601:J603)+L612</f>
        <v>564663.82000000007</v>
      </c>
      <c r="I662" s="19">
        <f>SUM(F662:H662)</f>
        <v>883524.68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12272145.509010412</v>
      </c>
      <c r="G663" s="19">
        <f>G659-SUM(G660:G662)</f>
        <v>0</v>
      </c>
      <c r="H663" s="19">
        <f>H659-SUM(H660:H662)</f>
        <v>6220129.1009895876</v>
      </c>
      <c r="I663" s="19">
        <f>I659-SUM(I660:I662)</f>
        <v>18492274.609999999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f>325.96+327.08+57.14</f>
        <v>710.18</v>
      </c>
      <c r="G664" s="248"/>
      <c r="H664" s="248">
        <v>347.25</v>
      </c>
      <c r="I664" s="19">
        <f>SUM(F664:H664)</f>
        <v>1057.4299999999998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17280.330000000002</v>
      </c>
      <c r="G666" s="19" t="e">
        <f>ROUND(G663/G664,2)</f>
        <v>#DIV/0!</v>
      </c>
      <c r="H666" s="19">
        <f>ROUND(H663/H664,2)</f>
        <v>17912.54</v>
      </c>
      <c r="I666" s="19">
        <f>ROUND(I663/I664,2)</f>
        <v>17487.939999999999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-8.66</v>
      </c>
      <c r="I669" s="19">
        <f>SUM(F669:H669)</f>
        <v>-8.66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17280.330000000002</v>
      </c>
      <c r="G671" s="19" t="e">
        <f>ROUND((G663+G668)/(G664+G669),2)</f>
        <v>#DIV/0!</v>
      </c>
      <c r="H671" s="19">
        <f>ROUND((H663+H668)/(H664+H669),2)</f>
        <v>18370.68</v>
      </c>
      <c r="I671" s="19">
        <f>ROUND((I663+I668)/(I664+I669),2)</f>
        <v>17632.349999999999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Inter-Lakes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5461782.9699999997</v>
      </c>
      <c r="C9" s="229">
        <f>'DOE25'!G196+'DOE25'!G214+'DOE25'!G232+'DOE25'!G275+'DOE25'!G294+'DOE25'!G313</f>
        <v>2420604.27</v>
      </c>
    </row>
    <row r="10" spans="1:3" x14ac:dyDescent="0.2">
      <c r="A10" t="s">
        <v>779</v>
      </c>
      <c r="B10" s="240">
        <v>5006324.75</v>
      </c>
      <c r="C10" s="240">
        <f>2265770.03+2431.19+12000+8000+4500</f>
        <v>2292701.2199999997</v>
      </c>
    </row>
    <row r="11" spans="1:3" x14ac:dyDescent="0.2">
      <c r="A11" t="s">
        <v>780</v>
      </c>
      <c r="B11" s="240">
        <v>214346.57</v>
      </c>
      <c r="C11" s="240">
        <v>107530.44</v>
      </c>
    </row>
    <row r="12" spans="1:3" x14ac:dyDescent="0.2">
      <c r="A12" t="s">
        <v>781</v>
      </c>
      <c r="B12" s="240">
        <v>241111.65</v>
      </c>
      <c r="C12" s="240">
        <f>18445.04+1759.92+144.33+23.32</f>
        <v>20372.61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5461782.9700000007</v>
      </c>
      <c r="C13" s="231">
        <f>SUM(C10:C12)</f>
        <v>2420604.2699999996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1949413.48</v>
      </c>
      <c r="C18" s="229">
        <f>'DOE25'!G197+'DOE25'!G215+'DOE25'!G233+'DOE25'!G276+'DOE25'!G295+'DOE25'!G314</f>
        <v>808620.2</v>
      </c>
    </row>
    <row r="19" spans="1:3" x14ac:dyDescent="0.2">
      <c r="A19" t="s">
        <v>779</v>
      </c>
      <c r="B19" s="240">
        <v>902931.11</v>
      </c>
      <c r="C19" s="240">
        <f>391730.68+628.8+2700+1832.72+808.77</f>
        <v>397700.97</v>
      </c>
    </row>
    <row r="20" spans="1:3" x14ac:dyDescent="0.2">
      <c r="A20" t="s">
        <v>780</v>
      </c>
      <c r="B20" s="240">
        <v>1043004.62</v>
      </c>
      <c r="C20" s="240">
        <v>410347.14</v>
      </c>
    </row>
    <row r="21" spans="1:3" x14ac:dyDescent="0.2">
      <c r="A21" t="s">
        <v>781</v>
      </c>
      <c r="B21" s="240">
        <v>3477.75</v>
      </c>
      <c r="C21" s="240">
        <f>266.05+306.04</f>
        <v>572.09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1949413.48</v>
      </c>
      <c r="C22" s="231">
        <f>SUM(C19:C21)</f>
        <v>808620.2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264448</v>
      </c>
      <c r="C36" s="235">
        <f>'DOE25'!G199+'DOE25'!G217+'DOE25'!G235+'DOE25'!G278+'DOE25'!G297+'DOE25'!G316</f>
        <v>41262.07</v>
      </c>
    </row>
    <row r="37" spans="1:3" x14ac:dyDescent="0.2">
      <c r="A37" t="s">
        <v>779</v>
      </c>
      <c r="B37" s="240">
        <v>19240</v>
      </c>
      <c r="C37" s="240">
        <f>2174.12+1471.86</f>
        <v>3645.9799999999996</v>
      </c>
    </row>
    <row r="38" spans="1:3" x14ac:dyDescent="0.2">
      <c r="A38" t="s">
        <v>780</v>
      </c>
      <c r="B38" s="240">
        <v>3712</v>
      </c>
      <c r="C38" s="240">
        <f>283.97+326.66</f>
        <v>610.63000000000011</v>
      </c>
    </row>
    <row r="39" spans="1:3" x14ac:dyDescent="0.2">
      <c r="A39" t="s">
        <v>781</v>
      </c>
      <c r="B39" s="240">
        <v>241496</v>
      </c>
      <c r="C39" s="240">
        <v>37005.46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264448</v>
      </c>
      <c r="C40" s="231">
        <f>SUM(C37:C39)</f>
        <v>41262.07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Inter-Lakes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11488166.93</v>
      </c>
      <c r="D5" s="20">
        <f>SUM('DOE25'!L196:L199)+SUM('DOE25'!L214:L217)+SUM('DOE25'!L232:L235)-F5-G5</f>
        <v>11432859.710000001</v>
      </c>
      <c r="E5" s="243"/>
      <c r="F5" s="255">
        <f>SUM('DOE25'!J196:J199)+SUM('DOE25'!J214:J217)+SUM('DOE25'!J232:J235)</f>
        <v>44184.62</v>
      </c>
      <c r="G5" s="53">
        <f>SUM('DOE25'!K196:K199)+SUM('DOE25'!K214:K217)+SUM('DOE25'!K232:K235)</f>
        <v>11122.6</v>
      </c>
      <c r="H5" s="259"/>
    </row>
    <row r="6" spans="1:9" x14ac:dyDescent="0.2">
      <c r="A6" s="32">
        <v>2100</v>
      </c>
      <c r="B6" t="s">
        <v>801</v>
      </c>
      <c r="C6" s="245">
        <f t="shared" si="0"/>
        <v>1314463.8099999998</v>
      </c>
      <c r="D6" s="20">
        <f>'DOE25'!L201+'DOE25'!L219+'DOE25'!L237-F6-G6</f>
        <v>1310582.7099999997</v>
      </c>
      <c r="E6" s="243"/>
      <c r="F6" s="255">
        <f>'DOE25'!J201+'DOE25'!J219+'DOE25'!J237</f>
        <v>3856.1</v>
      </c>
      <c r="G6" s="53">
        <f>'DOE25'!K201+'DOE25'!K219+'DOE25'!K237</f>
        <v>25</v>
      </c>
      <c r="H6" s="259"/>
    </row>
    <row r="7" spans="1:9" x14ac:dyDescent="0.2">
      <c r="A7" s="32">
        <v>2200</v>
      </c>
      <c r="B7" t="s">
        <v>834</v>
      </c>
      <c r="C7" s="245">
        <f t="shared" si="0"/>
        <v>1258194.0900000003</v>
      </c>
      <c r="D7" s="20">
        <f>'DOE25'!L202+'DOE25'!L220+'DOE25'!L238-F7-G7</f>
        <v>1085884.4700000002</v>
      </c>
      <c r="E7" s="243"/>
      <c r="F7" s="255">
        <f>'DOE25'!J202+'DOE25'!J220+'DOE25'!J238</f>
        <v>168820.62</v>
      </c>
      <c r="G7" s="53">
        <f>'DOE25'!K202+'DOE25'!K220+'DOE25'!K238</f>
        <v>3489</v>
      </c>
      <c r="H7" s="259"/>
    </row>
    <row r="8" spans="1:9" x14ac:dyDescent="0.2">
      <c r="A8" s="32">
        <v>2300</v>
      </c>
      <c r="B8" t="s">
        <v>802</v>
      </c>
      <c r="C8" s="245">
        <f t="shared" si="0"/>
        <v>417730.09</v>
      </c>
      <c r="D8" s="243"/>
      <c r="E8" s="20">
        <f>'DOE25'!L203+'DOE25'!L221+'DOE25'!L239-F8-G8-D9-D11</f>
        <v>409502.48000000004</v>
      </c>
      <c r="F8" s="255">
        <f>'DOE25'!J203+'DOE25'!J221+'DOE25'!J239</f>
        <v>0</v>
      </c>
      <c r="G8" s="53">
        <f>'DOE25'!K203+'DOE25'!K221+'DOE25'!K239</f>
        <v>8227.61</v>
      </c>
      <c r="H8" s="259"/>
    </row>
    <row r="9" spans="1:9" x14ac:dyDescent="0.2">
      <c r="A9" s="32">
        <v>2310</v>
      </c>
      <c r="B9" t="s">
        <v>818</v>
      </c>
      <c r="C9" s="245">
        <f t="shared" si="0"/>
        <v>69854.59</v>
      </c>
      <c r="D9" s="244">
        <v>69854.59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25250</v>
      </c>
      <c r="D10" s="243"/>
      <c r="E10" s="244">
        <v>25250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321326.43</v>
      </c>
      <c r="D11" s="244">
        <v>321326.43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1145594.8500000001</v>
      </c>
      <c r="D12" s="20">
        <f>'DOE25'!L204+'DOE25'!L222+'DOE25'!L240-F12-G12</f>
        <v>1135960.8500000001</v>
      </c>
      <c r="E12" s="243"/>
      <c r="F12" s="255">
        <f>'DOE25'!J204+'DOE25'!J222+'DOE25'!J240</f>
        <v>0</v>
      </c>
      <c r="G12" s="53">
        <f>'DOE25'!K204+'DOE25'!K222+'DOE25'!K240</f>
        <v>9634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19007.600000000002</v>
      </c>
      <c r="D13" s="243"/>
      <c r="E13" s="20">
        <f>'DOE25'!L205+'DOE25'!L223+'DOE25'!L241-F13-G13</f>
        <v>15233.950000000003</v>
      </c>
      <c r="F13" s="255">
        <f>'DOE25'!J205+'DOE25'!J223+'DOE25'!J241</f>
        <v>3773.65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2130644.9699999997</v>
      </c>
      <c r="D14" s="20">
        <f>'DOE25'!L206+'DOE25'!L224+'DOE25'!L242-F14-G14</f>
        <v>1908860.8999999997</v>
      </c>
      <c r="E14" s="243"/>
      <c r="F14" s="255">
        <f>'DOE25'!J206+'DOE25'!J224+'DOE25'!J242</f>
        <v>221784.07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912743.15</v>
      </c>
      <c r="D15" s="20">
        <f>'DOE25'!L207+'DOE25'!L225+'DOE25'!L243-F15-G15</f>
        <v>912743.15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620545.98</v>
      </c>
      <c r="D16" s="243"/>
      <c r="E16" s="20">
        <f>'DOE25'!L208+'DOE25'!L226+'DOE25'!L244-F16-G16</f>
        <v>620545.98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434464.21000000008</v>
      </c>
      <c r="D29" s="20">
        <f>'DOE25'!L357+'DOE25'!L358+'DOE25'!L359-'DOE25'!I366-F29-G29</f>
        <v>433503.41000000009</v>
      </c>
      <c r="E29" s="243"/>
      <c r="F29" s="255">
        <f>'DOE25'!J357+'DOE25'!J358+'DOE25'!J359</f>
        <v>0</v>
      </c>
      <c r="G29" s="53">
        <f>'DOE25'!K357+'DOE25'!K358+'DOE25'!K359</f>
        <v>960.8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376640.44</v>
      </c>
      <c r="D31" s="20">
        <f>'DOE25'!L289+'DOE25'!L308+'DOE25'!L327+'DOE25'!L332+'DOE25'!L333+'DOE25'!L334-F31-G31</f>
        <v>344912.67</v>
      </c>
      <c r="E31" s="243"/>
      <c r="F31" s="255">
        <f>'DOE25'!J289+'DOE25'!J308+'DOE25'!J327+'DOE25'!J332+'DOE25'!J333+'DOE25'!J334</f>
        <v>16502.95</v>
      </c>
      <c r="G31" s="53">
        <f>'DOE25'!K289+'DOE25'!K308+'DOE25'!K327+'DOE25'!K332+'DOE25'!K333+'DOE25'!K334</f>
        <v>15224.82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18956488.890000001</v>
      </c>
      <c r="E33" s="246">
        <f>SUM(E5:E31)</f>
        <v>1070532.4100000001</v>
      </c>
      <c r="F33" s="246">
        <f>SUM(F5:F31)</f>
        <v>458922.01</v>
      </c>
      <c r="G33" s="246">
        <f>SUM(G5:G31)</f>
        <v>48683.83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1070532.4100000001</v>
      </c>
      <c r="E35" s="249"/>
    </row>
    <row r="36" spans="2:8" ht="12" thickTop="1" x14ac:dyDescent="0.2">
      <c r="B36" t="s">
        <v>815</v>
      </c>
      <c r="D36" s="20">
        <f>D33</f>
        <v>18956488.890000001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99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Inter-Lakes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601161.31000000006</v>
      </c>
      <c r="D8" s="95">
        <f>'DOE25'!G9</f>
        <v>0</v>
      </c>
      <c r="E8" s="95">
        <f>'DOE25'!H9</f>
        <v>0</v>
      </c>
      <c r="F8" s="95">
        <f>'DOE25'!I9</f>
        <v>3231.11</v>
      </c>
      <c r="G8" s="95">
        <f>'DOE25'!J9</f>
        <v>612002.6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4854120.74</v>
      </c>
      <c r="D11" s="95">
        <f>'DOE25'!G12</f>
        <v>2320094.89</v>
      </c>
      <c r="E11" s="95">
        <f>'DOE25'!H12</f>
        <v>2469290.6100000003</v>
      </c>
      <c r="F11" s="95">
        <f>'DOE25'!I12</f>
        <v>22.38</v>
      </c>
      <c r="G11" s="95">
        <f>'DOE25'!J12</f>
        <v>25000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169021.8</v>
      </c>
      <c r="D12" s="95">
        <f>'DOE25'!G13</f>
        <v>62069.15</v>
      </c>
      <c r="E12" s="95">
        <f>'DOE25'!H13</f>
        <v>40789.589999999997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8057.35</v>
      </c>
      <c r="D13" s="95">
        <f>'DOE25'!G14</f>
        <v>-5495.63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90287.42</v>
      </c>
      <c r="D16" s="95">
        <f>'DOE25'!G17</f>
        <v>0</v>
      </c>
      <c r="E16" s="95">
        <f>'DOE25'!H17</f>
        <v>7269.14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5722648.6200000001</v>
      </c>
      <c r="D18" s="41">
        <f>SUM(D8:D17)</f>
        <v>2376668.41</v>
      </c>
      <c r="E18" s="41">
        <f>SUM(E8:E17)</f>
        <v>2517349.3400000003</v>
      </c>
      <c r="F18" s="41">
        <f>SUM(F8:F17)</f>
        <v>3253.4900000000002</v>
      </c>
      <c r="G18" s="41">
        <f>SUM(G8:G17)</f>
        <v>637002.6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4814407.88</v>
      </c>
      <c r="D21" s="95">
        <f>'DOE25'!G22</f>
        <v>2360668.4500000002</v>
      </c>
      <c r="E21" s="95">
        <f>'DOE25'!H22</f>
        <v>2468429.9099999997</v>
      </c>
      <c r="F21" s="95">
        <f>'DOE25'!I22</f>
        <v>22.38</v>
      </c>
      <c r="G21" s="95">
        <f>'DOE25'!J22</f>
        <v>25000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278086.74</v>
      </c>
      <c r="D23" s="95">
        <f>'DOE25'!G24</f>
        <v>83.4</v>
      </c>
      <c r="E23" s="95">
        <f>'DOE25'!H24</f>
        <v>12827.09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13622.43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-142.6</v>
      </c>
      <c r="E29" s="95">
        <f>'DOE25'!H30</f>
        <v>1286.31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5106117.05</v>
      </c>
      <c r="D31" s="41">
        <f>SUM(D21:D30)</f>
        <v>2360609.25</v>
      </c>
      <c r="E31" s="41">
        <f>SUM(E21:E30)</f>
        <v>2482543.3099999996</v>
      </c>
      <c r="F31" s="41">
        <f>SUM(F21:F30)</f>
        <v>22.38</v>
      </c>
      <c r="G31" s="41">
        <f>SUM(G21:G30)</f>
        <v>25000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16059.16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30000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34806.03</v>
      </c>
      <c r="F46" s="95">
        <f>'DOE25'!I47</f>
        <v>3231.11</v>
      </c>
      <c r="G46" s="95">
        <f>'DOE25'!J47</f>
        <v>612002.6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366262.39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220269.18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616531.57000000007</v>
      </c>
      <c r="D49" s="41">
        <f>SUM(D34:D48)</f>
        <v>16059.16</v>
      </c>
      <c r="E49" s="41">
        <f>SUM(E34:E48)</f>
        <v>34806.03</v>
      </c>
      <c r="F49" s="41">
        <f>SUM(F34:F48)</f>
        <v>3231.11</v>
      </c>
      <c r="G49" s="41">
        <f>SUM(G34:G48)</f>
        <v>612002.6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5722648.6200000001</v>
      </c>
      <c r="D50" s="41">
        <f>D49+D31</f>
        <v>2376668.41</v>
      </c>
      <c r="E50" s="41">
        <f>E49+E31</f>
        <v>2517349.3399999994</v>
      </c>
      <c r="F50" s="41">
        <f>F49+F31</f>
        <v>3253.4900000000002</v>
      </c>
      <c r="G50" s="41">
        <f>G49+G31</f>
        <v>637002.6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12275398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52235.62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2887.01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239.77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219889.7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51515.960000000006</v>
      </c>
      <c r="D60" s="95">
        <f>SUM('DOE25'!G97:G109)</f>
        <v>0</v>
      </c>
      <c r="E60" s="95">
        <f>SUM('DOE25'!H97:H109)</f>
        <v>62189.950000000004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106638.59000000001</v>
      </c>
      <c r="D61" s="130">
        <f>SUM(D56:D60)</f>
        <v>219889.7</v>
      </c>
      <c r="E61" s="130">
        <f>SUM(E56:E60)</f>
        <v>62189.950000000004</v>
      </c>
      <c r="F61" s="130">
        <f>SUM(F56:F60)</f>
        <v>0</v>
      </c>
      <c r="G61" s="130">
        <f>SUM(G56:G60)</f>
        <v>239.77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12382036.59</v>
      </c>
      <c r="D62" s="22">
        <f>D55+D61</f>
        <v>219889.7</v>
      </c>
      <c r="E62" s="22">
        <f>E55+E61</f>
        <v>62189.950000000004</v>
      </c>
      <c r="F62" s="22">
        <f>F55+F61</f>
        <v>0</v>
      </c>
      <c r="G62" s="22">
        <f>G55+G61</f>
        <v>239.77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248981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6375408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6624389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133237.4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20256.22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9350.27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5318.22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162843.88999999998</v>
      </c>
      <c r="D77" s="130">
        <f>SUM(D71:D76)</f>
        <v>5318.22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6787232.8899999997</v>
      </c>
      <c r="D80" s="130">
        <f>SUM(D78:D79)+D77+D69</f>
        <v>5318.22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145900.65000000002</v>
      </c>
      <c r="D87" s="95">
        <f>SUM('DOE25'!G152:G160)</f>
        <v>201230.37</v>
      </c>
      <c r="E87" s="95">
        <f>SUM('DOE25'!H152:H160)</f>
        <v>348106.6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10646.73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156547.38000000003</v>
      </c>
      <c r="D90" s="131">
        <f>SUM(D84:D89)</f>
        <v>201230.37</v>
      </c>
      <c r="E90" s="131">
        <f>SUM(E84:E89)</f>
        <v>348106.6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50000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50000</v>
      </c>
    </row>
    <row r="103" spans="1:7" ht="12.75" thickTop="1" thickBot="1" x14ac:dyDescent="0.25">
      <c r="A103" s="33" t="s">
        <v>765</v>
      </c>
      <c r="C103" s="86">
        <f>C62+C80+C90+C102</f>
        <v>19325816.859999999</v>
      </c>
      <c r="D103" s="86">
        <f>D62+D80+D90+D102</f>
        <v>426438.29000000004</v>
      </c>
      <c r="E103" s="86">
        <f>E62+E80+E90+E102</f>
        <v>410296.55</v>
      </c>
      <c r="F103" s="86">
        <f>F62+F80+F90+F102</f>
        <v>0</v>
      </c>
      <c r="G103" s="86">
        <f>G62+G80+G102</f>
        <v>50239.77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7883540.0299999993</v>
      </c>
      <c r="D108" s="24" t="s">
        <v>289</v>
      </c>
      <c r="E108" s="95">
        <f>('DOE25'!L275)+('DOE25'!L294)+('DOE25'!L313)</f>
        <v>279117.71999999997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3124404.29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72048.850000000006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408173.75999999989</v>
      </c>
      <c r="D111" s="24" t="s">
        <v>289</v>
      </c>
      <c r="E111" s="95">
        <f>+('DOE25'!L278)+('DOE25'!L297)+('DOE25'!L316)</f>
        <v>320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11488166.93</v>
      </c>
      <c r="D114" s="86">
        <f>SUM(D108:D113)</f>
        <v>0</v>
      </c>
      <c r="E114" s="86">
        <f>SUM(E108:E113)</f>
        <v>279437.71999999997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1314463.8099999998</v>
      </c>
      <c r="D117" s="24" t="s">
        <v>289</v>
      </c>
      <c r="E117" s="95">
        <f>+('DOE25'!L280)+('DOE25'!L299)+('DOE25'!L318)</f>
        <v>259.02999999999997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1258194.0900000001</v>
      </c>
      <c r="D118" s="24" t="s">
        <v>289</v>
      </c>
      <c r="E118" s="95">
        <f>+('DOE25'!L281)+('DOE25'!L300)+('DOE25'!L319)</f>
        <v>80773.87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808911.11</v>
      </c>
      <c r="D119" s="24" t="s">
        <v>289</v>
      </c>
      <c r="E119" s="95">
        <f>+('DOE25'!L282)+('DOE25'!L301)+('DOE25'!L320)</f>
        <v>15224.82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1145594.8500000001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19007.600000000002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2130644.9699999997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912743.15</v>
      </c>
      <c r="D123" s="24" t="s">
        <v>289</v>
      </c>
      <c r="E123" s="95">
        <f>+('DOE25'!L286)+('DOE25'!L305)+('DOE25'!L324)</f>
        <v>945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620545.98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434464.21000000008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8210105.5599999987</v>
      </c>
      <c r="D127" s="86">
        <f>SUM(D117:D126)</f>
        <v>434464.21000000008</v>
      </c>
      <c r="E127" s="86">
        <f>SUM(E117:E126)</f>
        <v>97202.72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50239.77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-239.7699999999968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50000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19748272.489999998</v>
      </c>
      <c r="D144" s="86">
        <f>(D114+D127+D143)</f>
        <v>434464.21000000008</v>
      </c>
      <c r="E144" s="86">
        <f>(E114+E127+E143)</f>
        <v>376640.43999999994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Inter-Lakes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17280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18371</v>
      </c>
    </row>
    <row r="7" spans="1:4" x14ac:dyDescent="0.2">
      <c r="B7" t="s">
        <v>705</v>
      </c>
      <c r="C7" s="179">
        <f>IF('DOE25'!I664+'DOE25'!I669=0,0,ROUND('DOE25'!I671,0))</f>
        <v>17632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8162658</v>
      </c>
      <c r="D10" s="182">
        <f>ROUND((C10/$C$28)*100,1)</f>
        <v>40.200000000000003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3124404</v>
      </c>
      <c r="D11" s="182">
        <f>ROUND((C11/$C$28)*100,1)</f>
        <v>15.4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72049</v>
      </c>
      <c r="D12" s="182">
        <f>ROUND((C12/$C$28)*100,1)</f>
        <v>0.4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408494</v>
      </c>
      <c r="D13" s="182">
        <f>ROUND((C13/$C$28)*100,1)</f>
        <v>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1314723</v>
      </c>
      <c r="D15" s="182">
        <f t="shared" ref="D15:D27" si="0">ROUND((C15/$C$28)*100,1)</f>
        <v>6.5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1338968</v>
      </c>
      <c r="D16" s="182">
        <f t="shared" si="0"/>
        <v>6.6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1444682</v>
      </c>
      <c r="D17" s="182">
        <f t="shared" si="0"/>
        <v>7.1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1145595</v>
      </c>
      <c r="D18" s="182">
        <f t="shared" si="0"/>
        <v>5.6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19008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2130645</v>
      </c>
      <c r="D20" s="182">
        <f t="shared" si="0"/>
        <v>10.5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913688</v>
      </c>
      <c r="D21" s="182">
        <f t="shared" si="0"/>
        <v>4.5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214574.3</v>
      </c>
      <c r="D27" s="182">
        <f t="shared" si="0"/>
        <v>1.1000000000000001</v>
      </c>
    </row>
    <row r="28" spans="1:4" x14ac:dyDescent="0.2">
      <c r="B28" s="187" t="s">
        <v>723</v>
      </c>
      <c r="C28" s="180">
        <f>SUM(C10:C27)</f>
        <v>20289488.300000001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20289488.300000001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12275398</v>
      </c>
      <c r="D35" s="182">
        <f t="shared" ref="D35:D40" si="1">ROUND((C35/$C$41)*100,1)</f>
        <v>61.6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169068.30999999866</v>
      </c>
      <c r="D36" s="182">
        <f t="shared" si="1"/>
        <v>0.8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6624389</v>
      </c>
      <c r="D37" s="182">
        <f t="shared" si="1"/>
        <v>33.200000000000003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168162</v>
      </c>
      <c r="D38" s="182">
        <f t="shared" si="1"/>
        <v>0.8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705884</v>
      </c>
      <c r="D39" s="182">
        <f t="shared" si="1"/>
        <v>3.5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19942901.309999999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6" sqref="C6:M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Inter-Lakes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>
        <v>7</v>
      </c>
      <c r="B4" s="219">
        <v>12</v>
      </c>
      <c r="C4" s="285" t="s">
        <v>911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9</v>
      </c>
      <c r="B5" s="219">
        <v>12</v>
      </c>
      <c r="C5" s="285" t="s">
        <v>911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2013-09-23T13:18:08Z</cp:lastPrinted>
  <dcterms:created xsi:type="dcterms:W3CDTF">1997-12-04T19:04:30Z</dcterms:created>
  <dcterms:modified xsi:type="dcterms:W3CDTF">2013-12-05T18:45:25Z</dcterms:modified>
</cp:coreProperties>
</file>