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80" i="1" l="1"/>
  <c r="C38" i="12" l="1"/>
  <c r="C39" i="12"/>
  <c r="B39" i="12"/>
  <c r="C21" i="12"/>
  <c r="B21" i="12"/>
  <c r="I520" i="1" l="1"/>
  <c r="G520" i="1"/>
  <c r="F520" i="1"/>
  <c r="G522" i="1"/>
  <c r="F522" i="1"/>
  <c r="K527" i="1"/>
  <c r="K526" i="1"/>
  <c r="K525" i="1"/>
  <c r="J527" i="1"/>
  <c r="J526" i="1"/>
  <c r="J525" i="1"/>
  <c r="I527" i="1"/>
  <c r="I526" i="1"/>
  <c r="I525" i="1"/>
  <c r="H527" i="1"/>
  <c r="H526" i="1"/>
  <c r="H525" i="1"/>
  <c r="G527" i="1"/>
  <c r="G526" i="1"/>
  <c r="G525" i="1"/>
  <c r="F527" i="1"/>
  <c r="F526" i="1"/>
  <c r="F525" i="1"/>
  <c r="H522" i="1"/>
  <c r="H521" i="1"/>
  <c r="H520" i="1"/>
  <c r="K532" i="1"/>
  <c r="K531" i="1"/>
  <c r="K530" i="1"/>
  <c r="I532" i="1"/>
  <c r="I531" i="1"/>
  <c r="I530" i="1"/>
  <c r="H532" i="1"/>
  <c r="H531" i="1"/>
  <c r="H530" i="1"/>
  <c r="G532" i="1"/>
  <c r="G531" i="1"/>
  <c r="G530" i="1"/>
  <c r="J522" i="1"/>
  <c r="I522" i="1"/>
  <c r="J521" i="1"/>
  <c r="I521" i="1"/>
  <c r="G521" i="1"/>
  <c r="F521" i="1"/>
  <c r="J520" i="1"/>
  <c r="H577" i="1" l="1"/>
  <c r="H594" i="1"/>
  <c r="J591" i="1"/>
  <c r="I591" i="1"/>
  <c r="H591" i="1"/>
  <c r="H428" i="1" l="1"/>
  <c r="H456" i="1" l="1"/>
  <c r="H439" i="1"/>
  <c r="F9" i="1"/>
  <c r="F29" i="1"/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 s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E16" i="13" s="1"/>
  <c r="C16" i="13" s="1"/>
  <c r="F5" i="13"/>
  <c r="G5" i="13"/>
  <c r="L196" i="1"/>
  <c r="L197" i="1"/>
  <c r="L198" i="1"/>
  <c r="L199" i="1"/>
  <c r="L214" i="1"/>
  <c r="L215" i="1"/>
  <c r="L216" i="1"/>
  <c r="L217" i="1"/>
  <c r="L232" i="1"/>
  <c r="C108" i="2" s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C18" i="10" s="1"/>
  <c r="L240" i="1"/>
  <c r="F14" i="13"/>
  <c r="G14" i="13"/>
  <c r="L206" i="1"/>
  <c r="L224" i="1"/>
  <c r="L242" i="1"/>
  <c r="F15" i="13"/>
  <c r="G15" i="13"/>
  <c r="L207" i="1"/>
  <c r="L225" i="1"/>
  <c r="D15" i="13" s="1"/>
  <c r="C15" i="13" s="1"/>
  <c r="L243" i="1"/>
  <c r="F17" i="13"/>
  <c r="G17" i="13"/>
  <c r="L250" i="1"/>
  <c r="C113" i="2" s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E113" i="2" s="1"/>
  <c r="L334" i="1"/>
  <c r="L259" i="1"/>
  <c r="C130" i="2" s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8" i="2"/>
  <c r="G60" i="2"/>
  <c r="F2" i="11"/>
  <c r="L612" i="1"/>
  <c r="H662" i="1" s="1"/>
  <c r="L611" i="1"/>
  <c r="G662" i="1"/>
  <c r="L610" i="1"/>
  <c r="F662" i="1" s="1"/>
  <c r="C40" i="10"/>
  <c r="F59" i="1"/>
  <c r="G59" i="1"/>
  <c r="H59" i="1"/>
  <c r="I59" i="1"/>
  <c r="I111" i="1" s="1"/>
  <c r="F78" i="1"/>
  <c r="C56" i="2" s="1"/>
  <c r="F93" i="1"/>
  <c r="F110" i="1"/>
  <c r="G110" i="1"/>
  <c r="G111" i="1" s="1"/>
  <c r="H78" i="1"/>
  <c r="H93" i="1"/>
  <c r="H110" i="1"/>
  <c r="I110" i="1"/>
  <c r="J110" i="1"/>
  <c r="F120" i="1"/>
  <c r="F135" i="1"/>
  <c r="F139" i="1" s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F84" i="2" s="1"/>
  <c r="I161" i="1"/>
  <c r="L249" i="1"/>
  <c r="L331" i="1"/>
  <c r="E112" i="2" s="1"/>
  <c r="L253" i="1"/>
  <c r="C25" i="10"/>
  <c r="L267" i="1"/>
  <c r="L268" i="1"/>
  <c r="L348" i="1"/>
  <c r="E141" i="2" s="1"/>
  <c r="E143" i="2" s="1"/>
  <c r="L349" i="1"/>
  <c r="I664" i="1"/>
  <c r="I669" i="1"/>
  <c r="F661" i="1"/>
  <c r="I668" i="1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/>
  <c r="G11" i="2"/>
  <c r="C12" i="2"/>
  <c r="D12" i="2"/>
  <c r="E12" i="2"/>
  <c r="F12" i="2"/>
  <c r="I441" i="1"/>
  <c r="J13" i="1" s="1"/>
  <c r="G12" i="2" s="1"/>
  <c r="C13" i="2"/>
  <c r="D13" i="2"/>
  <c r="E13" i="2"/>
  <c r="F13" i="2"/>
  <c r="I442" i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/>
  <c r="G17" i="2"/>
  <c r="C21" i="2"/>
  <c r="D21" i="2"/>
  <c r="E21" i="2"/>
  <c r="F21" i="2"/>
  <c r="I447" i="1"/>
  <c r="C22" i="2"/>
  <c r="D22" i="2"/>
  <c r="E22" i="2"/>
  <c r="F22" i="2"/>
  <c r="I448" i="1"/>
  <c r="J23" i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I456" i="1"/>
  <c r="J37" i="1" s="1"/>
  <c r="I458" i="1"/>
  <c r="J47" i="1" s="1"/>
  <c r="G46" i="2"/>
  <c r="C48" i="2"/>
  <c r="D55" i="2"/>
  <c r="E55" i="2"/>
  <c r="F55" i="2"/>
  <c r="E56" i="2"/>
  <c r="C57" i="2"/>
  <c r="E57" i="2"/>
  <c r="C58" i="2"/>
  <c r="D58" i="2"/>
  <c r="E58" i="2"/>
  <c r="F58" i="2"/>
  <c r="F61" i="2" s="1"/>
  <c r="D59" i="2"/>
  <c r="C60" i="2"/>
  <c r="D60" i="2"/>
  <c r="E60" i="2"/>
  <c r="F60" i="2"/>
  <c r="C65" i="2"/>
  <c r="C66" i="2"/>
  <c r="C69" i="2" s="1"/>
  <c r="C68" i="2"/>
  <c r="D68" i="2"/>
  <c r="D69" i="2" s="1"/>
  <c r="E68" i="2"/>
  <c r="E69" i="2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E77" i="2" s="1"/>
  <c r="E80" i="2" s="1"/>
  <c r="F76" i="2"/>
  <c r="G76" i="2"/>
  <c r="G77" i="2" s="1"/>
  <c r="C78" i="2"/>
  <c r="D78" i="2"/>
  <c r="E78" i="2"/>
  <c r="C79" i="2"/>
  <c r="E79" i="2"/>
  <c r="C84" i="2"/>
  <c r="D84" i="2"/>
  <c r="E84" i="2"/>
  <c r="C86" i="2"/>
  <c r="E86" i="2"/>
  <c r="F86" i="2"/>
  <c r="C87" i="2"/>
  <c r="D87" i="2"/>
  <c r="E87" i="2"/>
  <c r="E90" i="2" s="1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C112" i="2"/>
  <c r="D114" i="2"/>
  <c r="F114" i="2"/>
  <c r="G114" i="2"/>
  <c r="E119" i="2"/>
  <c r="E120" i="2"/>
  <c r="E121" i="2"/>
  <c r="E123" i="2"/>
  <c r="E124" i="2"/>
  <c r="F127" i="2"/>
  <c r="G127" i="2"/>
  <c r="C129" i="2"/>
  <c r="E129" i="2"/>
  <c r="D133" i="2"/>
  <c r="D143" i="2"/>
  <c r="F133" i="2"/>
  <c r="K418" i="1"/>
  <c r="K426" i="1"/>
  <c r="K432" i="1"/>
  <c r="L262" i="1"/>
  <c r="C134" i="2" s="1"/>
  <c r="E134" i="2"/>
  <c r="L263" i="1"/>
  <c r="C135" i="2" s="1"/>
  <c r="L264" i="1"/>
  <c r="C136" i="2"/>
  <c r="E136" i="2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G499" i="1"/>
  <c r="C160" i="2" s="1"/>
  <c r="H499" i="1"/>
  <c r="D160" i="2" s="1"/>
  <c r="I499" i="1"/>
  <c r="E160" i="2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G502" i="1"/>
  <c r="C163" i="2" s="1"/>
  <c r="H502" i="1"/>
  <c r="D163" i="2" s="1"/>
  <c r="I502" i="1"/>
  <c r="E163" i="2"/>
  <c r="J502" i="1"/>
  <c r="F163" i="2" s="1"/>
  <c r="F19" i="1"/>
  <c r="G19" i="1"/>
  <c r="G617" i="1" s="1"/>
  <c r="H19" i="1"/>
  <c r="G618" i="1" s="1"/>
  <c r="I19" i="1"/>
  <c r="F32" i="1"/>
  <c r="G32" i="1"/>
  <c r="H32" i="1"/>
  <c r="I32" i="1"/>
  <c r="F50" i="1"/>
  <c r="G621" i="1" s="1"/>
  <c r="G50" i="1"/>
  <c r="H50" i="1"/>
  <c r="H51" i="1" s="1"/>
  <c r="H618" i="1" s="1"/>
  <c r="I50" i="1"/>
  <c r="G624" i="1" s="1"/>
  <c r="F176" i="1"/>
  <c r="I176" i="1"/>
  <c r="I191" i="1" s="1"/>
  <c r="F182" i="1"/>
  <c r="G182" i="1"/>
  <c r="G191" i="1" s="1"/>
  <c r="H182" i="1"/>
  <c r="I182" i="1"/>
  <c r="J182" i="1"/>
  <c r="J191" i="1" s="1"/>
  <c r="F187" i="1"/>
  <c r="G187" i="1"/>
  <c r="H187" i="1"/>
  <c r="H191" i="1" s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/>
  <c r="J351" i="1" s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G407" i="1" s="1"/>
  <c r="H644" i="1" s="1"/>
  <c r="H400" i="1"/>
  <c r="I400" i="1"/>
  <c r="F406" i="1"/>
  <c r="G406" i="1"/>
  <c r="H406" i="1"/>
  <c r="I406" i="1"/>
  <c r="F407" i="1"/>
  <c r="H642" i="1" s="1"/>
  <c r="J642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F433" i="1" s="1"/>
  <c r="G426" i="1"/>
  <c r="H426" i="1"/>
  <c r="I426" i="1"/>
  <c r="I433" i="1" s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F451" i="1"/>
  <c r="G451" i="1"/>
  <c r="H451" i="1"/>
  <c r="F459" i="1"/>
  <c r="F460" i="1" s="1"/>
  <c r="G459" i="1"/>
  <c r="G460" i="1" s="1"/>
  <c r="H639" i="1" s="1"/>
  <c r="J639" i="1" s="1"/>
  <c r="H459" i="1"/>
  <c r="H460" i="1" s="1"/>
  <c r="H640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4" i="1" s="1"/>
  <c r="L562" i="1"/>
  <c r="L563" i="1"/>
  <c r="F564" i="1"/>
  <c r="G564" i="1"/>
  <c r="H564" i="1"/>
  <c r="I564" i="1"/>
  <c r="J564" i="1"/>
  <c r="J570" i="1" s="1"/>
  <c r="K564" i="1"/>
  <c r="L566" i="1"/>
  <c r="L567" i="1"/>
  <c r="L568" i="1"/>
  <c r="F569" i="1"/>
  <c r="G569" i="1"/>
  <c r="H569" i="1"/>
  <c r="I569" i="1"/>
  <c r="J569" i="1"/>
  <c r="K569" i="1"/>
  <c r="K570" i="1" s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9" i="1"/>
  <c r="G622" i="1"/>
  <c r="H626" i="1"/>
  <c r="H627" i="1"/>
  <c r="H628" i="1"/>
  <c r="H629" i="1"/>
  <c r="H630" i="1"/>
  <c r="H631" i="1"/>
  <c r="H632" i="1"/>
  <c r="H634" i="1"/>
  <c r="H635" i="1"/>
  <c r="H636" i="1"/>
  <c r="H637" i="1"/>
  <c r="H638" i="1"/>
  <c r="G640" i="1"/>
  <c r="G642" i="1"/>
  <c r="G643" i="1"/>
  <c r="G648" i="1"/>
  <c r="G649" i="1"/>
  <c r="G651" i="1"/>
  <c r="H651" i="1"/>
  <c r="G652" i="1"/>
  <c r="J652" i="1" s="1"/>
  <c r="H652" i="1"/>
  <c r="G653" i="1"/>
  <c r="H653" i="1"/>
  <c r="H654" i="1"/>
  <c r="J654" i="1" s="1"/>
  <c r="F31" i="2"/>
  <c r="F50" i="2" s="1"/>
  <c r="C26" i="10"/>
  <c r="L350" i="1"/>
  <c r="D12" i="13"/>
  <c r="C12" i="13" s="1"/>
  <c r="D61" i="2"/>
  <c r="D62" i="2" s="1"/>
  <c r="E49" i="2"/>
  <c r="D18" i="13"/>
  <c r="C18" i="13"/>
  <c r="F102" i="2"/>
  <c r="D18" i="2"/>
  <c r="D17" i="13"/>
  <c r="C17" i="13" s="1"/>
  <c r="G158" i="2"/>
  <c r="C90" i="2"/>
  <c r="G80" i="2"/>
  <c r="F77" i="2"/>
  <c r="F80" i="2"/>
  <c r="F62" i="2"/>
  <c r="F103" i="2" s="1"/>
  <c r="D31" i="2"/>
  <c r="D49" i="2"/>
  <c r="G156" i="2"/>
  <c r="F49" i="2"/>
  <c r="F18" i="2"/>
  <c r="G162" i="2"/>
  <c r="G157" i="2"/>
  <c r="G155" i="2"/>
  <c r="G102" i="2"/>
  <c r="E102" i="2"/>
  <c r="C102" i="2"/>
  <c r="F90" i="2"/>
  <c r="E61" i="2"/>
  <c r="E62" i="2" s="1"/>
  <c r="E31" i="2"/>
  <c r="C31" i="2"/>
  <c r="G61" i="2"/>
  <c r="D19" i="13"/>
  <c r="C19" i="13" s="1"/>
  <c r="H111" i="1"/>
  <c r="K604" i="1"/>
  <c r="G647" i="1" s="1"/>
  <c r="I168" i="1"/>
  <c r="E50" i="2"/>
  <c r="H475" i="1"/>
  <c r="H623" i="1" s="1"/>
  <c r="F168" i="1"/>
  <c r="J139" i="1"/>
  <c r="F570" i="1"/>
  <c r="G22" i="2"/>
  <c r="C29" i="10"/>
  <c r="L400" i="1"/>
  <c r="L392" i="1"/>
  <c r="C137" i="2" s="1"/>
  <c r="F22" i="13"/>
  <c r="C22" i="13" s="1"/>
  <c r="H25" i="13"/>
  <c r="H33" i="13" s="1"/>
  <c r="C25" i="13"/>
  <c r="C35" i="10"/>
  <c r="C49" i="2"/>
  <c r="C24" i="10"/>
  <c r="G31" i="13"/>
  <c r="L406" i="1"/>
  <c r="C139" i="2" s="1"/>
  <c r="J653" i="1"/>
  <c r="J433" i="1"/>
  <c r="K433" i="1"/>
  <c r="G133" i="2" s="1"/>
  <c r="G143" i="2" s="1"/>
  <c r="G144" i="2" s="1"/>
  <c r="F31" i="13"/>
  <c r="G168" i="1"/>
  <c r="G139" i="1"/>
  <c r="G42" i="2"/>
  <c r="G16" i="2"/>
  <c r="J618" i="1"/>
  <c r="D102" i="2"/>
  <c r="I139" i="1"/>
  <c r="I192" i="1"/>
  <c r="G629" i="1" s="1"/>
  <c r="J629" i="1" s="1"/>
  <c r="G433" i="1"/>
  <c r="F191" i="1" l="1"/>
  <c r="A31" i="12"/>
  <c r="H551" i="1"/>
  <c r="K550" i="1"/>
  <c r="L528" i="1"/>
  <c r="L544" i="1" s="1"/>
  <c r="G551" i="1"/>
  <c r="K548" i="1"/>
  <c r="F544" i="1"/>
  <c r="J544" i="1"/>
  <c r="H544" i="1"/>
  <c r="K549" i="1"/>
  <c r="F551" i="1"/>
  <c r="I662" i="1"/>
  <c r="J648" i="1"/>
  <c r="I570" i="1"/>
  <c r="H570" i="1"/>
  <c r="L569" i="1"/>
  <c r="G570" i="1"/>
  <c r="I368" i="1"/>
  <c r="H633" i="1" s="1"/>
  <c r="J633" i="1" s="1"/>
  <c r="L361" i="1"/>
  <c r="C27" i="10" s="1"/>
  <c r="L432" i="1"/>
  <c r="G36" i="2"/>
  <c r="G49" i="2" s="1"/>
  <c r="J50" i="1"/>
  <c r="G625" i="1" s="1"/>
  <c r="I459" i="1"/>
  <c r="J638" i="1"/>
  <c r="J640" i="1"/>
  <c r="I475" i="1"/>
  <c r="H624" i="1" s="1"/>
  <c r="G475" i="1"/>
  <c r="H622" i="1" s="1"/>
  <c r="J622" i="1" s="1"/>
  <c r="F475" i="1"/>
  <c r="H621" i="1" s="1"/>
  <c r="J621" i="1" s="1"/>
  <c r="D50" i="2"/>
  <c r="C50" i="2"/>
  <c r="F51" i="1"/>
  <c r="H616" i="1" s="1"/>
  <c r="J616" i="1" s="1"/>
  <c r="C18" i="2"/>
  <c r="H433" i="1"/>
  <c r="H660" i="1"/>
  <c r="E13" i="13"/>
  <c r="C13" i="13" s="1"/>
  <c r="L407" i="1"/>
  <c r="G636" i="1" s="1"/>
  <c r="J636" i="1" s="1"/>
  <c r="H407" i="1"/>
  <c r="H643" i="1" s="1"/>
  <c r="J643" i="1" s="1"/>
  <c r="C138" i="2"/>
  <c r="K337" i="1"/>
  <c r="K351" i="1" s="1"/>
  <c r="D14" i="13"/>
  <c r="C14" i="13" s="1"/>
  <c r="J651" i="1"/>
  <c r="I337" i="1"/>
  <c r="I351" i="1" s="1"/>
  <c r="C32" i="10"/>
  <c r="C23" i="10"/>
  <c r="L336" i="1"/>
  <c r="F33" i="13"/>
  <c r="J256" i="1"/>
  <c r="J270" i="1" s="1"/>
  <c r="C17" i="10"/>
  <c r="C119" i="2"/>
  <c r="G33" i="13"/>
  <c r="E8" i="13"/>
  <c r="C8" i="13" s="1"/>
  <c r="L255" i="1"/>
  <c r="E103" i="2"/>
  <c r="H139" i="1"/>
  <c r="H192" i="1" s="1"/>
  <c r="G628" i="1" s="1"/>
  <c r="J628" i="1" s="1"/>
  <c r="C39" i="10"/>
  <c r="D29" i="13"/>
  <c r="C29" i="13" s="1"/>
  <c r="C121" i="2"/>
  <c r="J649" i="1"/>
  <c r="G660" i="1"/>
  <c r="D126" i="2"/>
  <c r="D127" i="2" s="1"/>
  <c r="D144" i="2" s="1"/>
  <c r="F660" i="1"/>
  <c r="E111" i="2"/>
  <c r="E117" i="2"/>
  <c r="F337" i="1"/>
  <c r="F351" i="1" s="1"/>
  <c r="C10" i="10"/>
  <c r="E108" i="2"/>
  <c r="L210" i="1"/>
  <c r="C21" i="10"/>
  <c r="I256" i="1"/>
  <c r="I270" i="1" s="1"/>
  <c r="C120" i="2"/>
  <c r="D5" i="13"/>
  <c r="C5" i="13" s="1"/>
  <c r="A40" i="12"/>
  <c r="G337" i="1"/>
  <c r="G351" i="1" s="1"/>
  <c r="A22" i="12"/>
  <c r="L289" i="1"/>
  <c r="C124" i="2"/>
  <c r="C109" i="2"/>
  <c r="C110" i="2"/>
  <c r="C123" i="2"/>
  <c r="G650" i="1"/>
  <c r="J650" i="1" s="1"/>
  <c r="H661" i="1"/>
  <c r="H337" i="1"/>
  <c r="H351" i="1" s="1"/>
  <c r="K256" i="1"/>
  <c r="K270" i="1" s="1"/>
  <c r="C117" i="2"/>
  <c r="D6" i="13"/>
  <c r="C6" i="13" s="1"/>
  <c r="G256" i="1"/>
  <c r="G270" i="1" s="1"/>
  <c r="C12" i="10"/>
  <c r="C19" i="10"/>
  <c r="A13" i="12"/>
  <c r="D90" i="2"/>
  <c r="D103" i="2" s="1"/>
  <c r="H256" i="1"/>
  <c r="H270" i="1" s="1"/>
  <c r="C15" i="10"/>
  <c r="K544" i="1"/>
  <c r="G544" i="1"/>
  <c r="J624" i="1"/>
  <c r="C140" i="2"/>
  <c r="C143" i="2" s="1"/>
  <c r="G192" i="1"/>
  <c r="G627" i="1" s="1"/>
  <c r="J627" i="1" s="1"/>
  <c r="J635" i="1"/>
  <c r="G644" i="1"/>
  <c r="J644" i="1" s="1"/>
  <c r="I51" i="1"/>
  <c r="H619" i="1" s="1"/>
  <c r="J619" i="1" s="1"/>
  <c r="G51" i="1"/>
  <c r="H617" i="1" s="1"/>
  <c r="J617" i="1" s="1"/>
  <c r="G159" i="2"/>
  <c r="I451" i="1"/>
  <c r="E18" i="2"/>
  <c r="J551" i="1"/>
  <c r="I551" i="1"/>
  <c r="I445" i="1"/>
  <c r="G641" i="1" s="1"/>
  <c r="J14" i="1"/>
  <c r="C61" i="2"/>
  <c r="F111" i="1"/>
  <c r="F192" i="1" s="1"/>
  <c r="G626" i="1" s="1"/>
  <c r="J626" i="1" s="1"/>
  <c r="C55" i="2"/>
  <c r="L418" i="1"/>
  <c r="F256" i="1"/>
  <c r="F270" i="1" s="1"/>
  <c r="B163" i="2"/>
  <c r="G163" i="2" s="1"/>
  <c r="K502" i="1"/>
  <c r="G623" i="1"/>
  <c r="J623" i="1" s="1"/>
  <c r="K597" i="1"/>
  <c r="G646" i="1" s="1"/>
  <c r="L559" i="1"/>
  <c r="I544" i="1"/>
  <c r="J475" i="1"/>
  <c r="H625" i="1" s="1"/>
  <c r="L426" i="1"/>
  <c r="G161" i="2"/>
  <c r="K499" i="1"/>
  <c r="B160" i="2"/>
  <c r="G160" i="2" s="1"/>
  <c r="C77" i="2"/>
  <c r="C80" i="2" s="1"/>
  <c r="F129" i="2"/>
  <c r="F143" i="2" s="1"/>
  <c r="F144" i="2" s="1"/>
  <c r="J111" i="1"/>
  <c r="J192" i="1" s="1"/>
  <c r="G55" i="2"/>
  <c r="G62" i="2" s="1"/>
  <c r="G103" i="2" s="1"/>
  <c r="L327" i="1"/>
  <c r="L308" i="1"/>
  <c r="E122" i="2"/>
  <c r="E118" i="2"/>
  <c r="E127" i="2" s="1"/>
  <c r="C11" i="10"/>
  <c r="E109" i="2"/>
  <c r="G661" i="1"/>
  <c r="I661" i="1" s="1"/>
  <c r="H646" i="1"/>
  <c r="C20" i="10"/>
  <c r="C122" i="2"/>
  <c r="C16" i="10"/>
  <c r="D7" i="13"/>
  <c r="C7" i="13" s="1"/>
  <c r="C118" i="2"/>
  <c r="L246" i="1"/>
  <c r="L228" i="1"/>
  <c r="C13" i="10"/>
  <c r="C111" i="2"/>
  <c r="J22" i="1"/>
  <c r="K551" i="1" l="1"/>
  <c r="C38" i="10"/>
  <c r="L570" i="1"/>
  <c r="G634" i="1"/>
  <c r="J634" i="1" s="1"/>
  <c r="J625" i="1"/>
  <c r="I460" i="1"/>
  <c r="H641" i="1" s="1"/>
  <c r="J641" i="1" s="1"/>
  <c r="H645" i="1"/>
  <c r="E114" i="2"/>
  <c r="E144" i="2" s="1"/>
  <c r="H647" i="1"/>
  <c r="J647" i="1" s="1"/>
  <c r="E33" i="13"/>
  <c r="D35" i="13" s="1"/>
  <c r="C114" i="2"/>
  <c r="I660" i="1"/>
  <c r="F659" i="1"/>
  <c r="F663" i="1" s="1"/>
  <c r="F666" i="1" s="1"/>
  <c r="L433" i="1"/>
  <c r="G637" i="1" s="1"/>
  <c r="J637" i="1" s="1"/>
  <c r="H659" i="1"/>
  <c r="H663" i="1" s="1"/>
  <c r="H671" i="1" s="1"/>
  <c r="C6" i="10" s="1"/>
  <c r="J32" i="1"/>
  <c r="J51" i="1" s="1"/>
  <c r="H620" i="1" s="1"/>
  <c r="G21" i="2"/>
  <c r="G31" i="2" s="1"/>
  <c r="G50" i="2" s="1"/>
  <c r="D31" i="13"/>
  <c r="C31" i="13" s="1"/>
  <c r="L337" i="1"/>
  <c r="L351" i="1" s="1"/>
  <c r="G632" i="1" s="1"/>
  <c r="J632" i="1" s="1"/>
  <c r="G13" i="2"/>
  <c r="G18" i="2" s="1"/>
  <c r="J19" i="1"/>
  <c r="G620" i="1" s="1"/>
  <c r="C36" i="10"/>
  <c r="C127" i="2"/>
  <c r="C28" i="10"/>
  <c r="D16" i="10" s="1"/>
  <c r="C62" i="2"/>
  <c r="C103" i="2" s="1"/>
  <c r="L256" i="1"/>
  <c r="L270" i="1" s="1"/>
  <c r="G631" i="1" s="1"/>
  <c r="J631" i="1" s="1"/>
  <c r="G659" i="1"/>
  <c r="G645" i="1"/>
  <c r="J645" i="1" s="1"/>
  <c r="G630" i="1"/>
  <c r="J630" i="1" s="1"/>
  <c r="J646" i="1"/>
  <c r="C144" i="2" l="1"/>
  <c r="F671" i="1"/>
  <c r="C4" i="10" s="1"/>
  <c r="H666" i="1"/>
  <c r="D33" i="13"/>
  <c r="D36" i="13" s="1"/>
  <c r="D13" i="10"/>
  <c r="D11" i="10"/>
  <c r="C41" i="10"/>
  <c r="G663" i="1"/>
  <c r="I659" i="1"/>
  <c r="I663" i="1" s="1"/>
  <c r="J620" i="1"/>
  <c r="H655" i="1"/>
  <c r="D23" i="10"/>
  <c r="D26" i="10"/>
  <c r="D10" i="10"/>
  <c r="D19" i="10"/>
  <c r="D25" i="10"/>
  <c r="D15" i="10"/>
  <c r="C30" i="10"/>
  <c r="D21" i="10"/>
  <c r="D24" i="10"/>
  <c r="D27" i="10"/>
  <c r="D22" i="10"/>
  <c r="D18" i="10"/>
  <c r="D17" i="10"/>
  <c r="D12" i="10"/>
  <c r="D20" i="10"/>
  <c r="D28" i="10" l="1"/>
  <c r="I671" i="1"/>
  <c r="C7" i="10" s="1"/>
  <c r="I666" i="1"/>
  <c r="D37" i="10"/>
  <c r="D40" i="10"/>
  <c r="D39" i="10"/>
  <c r="D35" i="10"/>
  <c r="D38" i="10"/>
  <c r="D36" i="10"/>
  <c r="G671" i="1"/>
  <c r="C5" i="10" s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<sst xmlns="http://schemas.openxmlformats.org/spreadsheetml/2006/main" count="3955" uniqueCount="919">
  <si>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</si>
  <si>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</si>
  <si>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</si>
  <si>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</si>
  <si>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</si>
  <si>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</si>
  <si>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</si>
  <si>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</si>
  <si>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</si>
  <si>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</si>
  <si>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</si>
  <si>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</si>
  <si>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</si>
  <si>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</si>
  <si>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</si>
  <si>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</si>
  <si>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</si>
  <si>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</si>
  <si>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</si>
  <si>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</si>
  <si>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</si>
  <si>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</si>
  <si>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</si>
  <si>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</si>
  <si>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</si>
  <si>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</si>
  <si>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</si>
  <si>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</si>
  <si>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</si>
  <si>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</si>
  <si>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</si>
  <si>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</si>
  <si>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</si>
  <si>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</si>
  <si>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</si>
  <si>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</si>
  <si>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</si>
  <si>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</si>
  <si>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</si>
  <si>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</si>
  <si>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</si>
  <si>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</si>
  <si>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</si>
  <si>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</si>
  <si>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</si>
  <si>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</si>
  <si>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</si>
  <si>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</si>
  <si>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</si>
  <si>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</si>
  <si>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</si>
  <si>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</si>
  <si>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</si>
  <si>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</si>
  <si>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</si>
  <si>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</si>
  <si>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</si>
  <si>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</si>
  <si>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</si>
  <si>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</si>
  <si>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</si>
  <si>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</si>
  <si>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</si>
  <si>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</si>
  <si>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</si>
  <si>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</si>
  <si>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</si>
  <si>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</si>
  <si>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</si>
  <si>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</si>
  <si>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</si>
  <si>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</si>
  <si>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</si>
  <si>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</si>
  <si>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</si>
  <si>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</si>
  <si>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</si>
  <si>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</si>
  <si>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</si>
  <si>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</si>
  <si>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</si>
  <si>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</si>
  <si>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</si>
  <si>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</si>
  <si>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</si>
  <si>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</si>
  <si>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</si>
  <si>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</si>
  <si>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</si>
  <si>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</si>
  <si>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</si>
  <si>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</si>
  <si>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</si>
  <si>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</si>
  <si>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</si>
  <si>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</si>
  <si>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</si>
  <si>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</si>
  <si>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</si>
  <si>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</si>
  <si>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</si>
  <si>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</si>
  <si>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</si>
  <si>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</si>
  <si>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</si>
  <si>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</si>
  <si>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</si>
  <si>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</si>
  <si>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</si>
  <si>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</si>
  <si>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</si>
  <si>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</si>
  <si>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</si>
  <si>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</si>
  <si>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</si>
  <si>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</si>
  <si>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</si>
  <si>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</si>
  <si>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</si>
  <si>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</si>
  <si>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</si>
  <si>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</si>
  <si>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</si>
  <si>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</si>
  <si>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</si>
  <si>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</si>
  <si>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</si>
  <si>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</si>
  <si>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</si>
  <si>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</si>
  <si>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</si>
  <si>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</si>
  <si>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</si>
  <si>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</si>
  <si>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</si>
  <si>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</si>
  <si>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</si>
  <si>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</si>
  <si>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</si>
  <si>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</si>
  <si>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</si>
  <si>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</si>
  <si>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</si>
  <si>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</si>
  <si>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</si>
  <si>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</si>
  <si>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</si>
  <si>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</si>
  <si>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</si>
  <si>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</si>
  <si>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</si>
  <si>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</si>
  <si>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</si>
  <si>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</si>
  <si>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</si>
  <si>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</si>
  <si>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</si>
  <si>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</si>
  <si>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</si>
  <si>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</si>
  <si>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</si>
  <si>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</si>
  <si>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</si>
  <si>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</si>
  <si>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</si>
  <si>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</si>
  <si>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</si>
  <si>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</si>
  <si>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</si>
  <si>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</si>
  <si>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</si>
  <si>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</si>
  <si>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</si>
  <si>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</si>
  <si>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</si>
  <si>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</si>
  <si>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</si>
  <si>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</si>
  <si>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</si>
  <si>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</si>
  <si>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</si>
  <si>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</si>
  <si>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</si>
  <si>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</si>
  <si>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</si>
  <si>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</si>
  <si>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</si>
  <si>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</si>
  <si>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</si>
  <si>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</si>
  <si>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</si>
  <si>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</si>
  <si>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</si>
  <si>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</si>
  <si>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</si>
  <si>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</si>
  <si>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</si>
  <si>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</si>
  <si>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</si>
  <si>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</si>
  <si>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</si>
  <si>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</si>
  <si>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</si>
  <si>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</si>
  <si>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</si>
  <si>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</si>
  <si>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</si>
  <si>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</si>
  <si>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</si>
  <si>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</si>
  <si>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</si>
  <si>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</si>
  <si>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</si>
  <si>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</si>
  <si>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</si>
  <si>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</si>
  <si>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</si>
  <si>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</si>
  <si>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</si>
  <si>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</si>
  <si>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</si>
  <si>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</si>
  <si>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</si>
  <si>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</si>
  <si>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</si>
  <si>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</si>
  <si>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</si>
  <si>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</si>
  <si>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</si>
  <si>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</si>
  <si>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</si>
  <si>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</si>
  <si>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</si>
  <si>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</si>
  <si>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</si>
  <si>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</si>
  <si>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</si>
  <si>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</si>
  <si>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</si>
  <si>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</si>
  <si>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</si>
  <si>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</si>
  <si>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</si>
  <si>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</si>
  <si>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</si>
  <si>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</si>
  <si>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</si>
  <si>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</si>
  <si>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</si>
  <si>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</si>
  <si>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</si>
  <si>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</si>
  <si>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</si>
  <si>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</si>
  <si>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</si>
  <si>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</si>
  <si>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</si>
  <si>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</si>
  <si>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</si>
  <si>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</si>
  <si>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</si>
  <si>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</si>
  <si>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</si>
  <si>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</si>
  <si>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</si>
  <si>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</si>
  <si>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</si>
  <si>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</si>
  <si>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</si>
  <si>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</si>
  <si>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</si>
  <si>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</si>
  <si>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</si>
  <si>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</si>
  <si>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</si>
  <si>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</si>
  <si>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</si>
  <si>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</si>
  <si>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</si>
  <si>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</si>
  <si>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</si>
  <si>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</si>
  <si>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</si>
  <si>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</si>
  <si>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</si>
  <si>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</si>
  <si>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</si>
  <si>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</si>
  <si>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</si>
  <si>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</si>
  <si>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</si>
  <si>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</si>
  <si>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</si>
  <si>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</si>
  <si>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</si>
  <si>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</si>
  <si>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</si>
  <si>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</si>
  <si>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</si>
  <si>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</si>
  <si>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</si>
  <si>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</si>
  <si>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</si>
  <si>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</si>
  <si>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</si>
  <si>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</si>
  <si>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</si>
  <si>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</si>
  <si>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</si>
  <si>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</si>
  <si>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</si>
  <si>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</si>
  <si>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</si>
  <si>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</si>
  <si>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</si>
  <si>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</si>
  <si>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</si>
  <si>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</si>
  <si>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</si>
  <si>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</si>
  <si>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</si>
  <si>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</si>
  <si>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</si>
  <si>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</si>
  <si>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</si>
  <si>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</si>
  <si>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</si>
  <si>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</si>
  <si>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</si>
  <si>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</si>
  <si>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</si>
  <si>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</si>
  <si>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</si>
  <si>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</si>
  <si>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</si>
  <si>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</si>
  <si>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</si>
  <si>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</si>
  <si>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</si>
  <si>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</si>
  <si>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</si>
  <si>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</si>
  <si>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</si>
  <si>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</si>
  <si>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</si>
  <si>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</si>
  <si>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</si>
  <si>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</si>
  <si>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</si>
  <si>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</si>
  <si>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</si>
  <si>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</si>
  <si>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</si>
  <si>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</si>
  <si>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</si>
  <si>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</si>
  <si>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</si>
  <si>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</si>
  <si>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</si>
  <si>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</si>
  <si>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</si>
  <si>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</si>
  <si>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</si>
  <si>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</si>
  <si>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</si>
  <si>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</si>
  <si>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</si>
  <si>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</si>
  <si>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</si>
  <si>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</si>
  <si>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</si>
  <si>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</si>
  <si>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</si>
  <si>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</si>
  <si>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</si>
  <si>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</si>
  <si>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</si>
  <si>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</si>
  <si>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</si>
  <si>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</si>
  <si>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</si>
  <si>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</si>
  <si>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</si>
  <si>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</si>
  <si>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</si>
  <si>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</si>
  <si>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</si>
  <si>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</si>
  <si>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</si>
  <si>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</si>
  <si>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</si>
  <si>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</si>
  <si>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</si>
  <si>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</si>
  <si>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</si>
  <si>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</si>
  <si>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</si>
  <si>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</si>
  <si>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</si>
  <si>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</si>
  <si>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</si>
  <si>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</si>
  <si>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</si>
  <si>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</si>
  <si>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</si>
  <si>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</si>
  <si>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</si>
  <si>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</si>
  <si>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</si>
  <si>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</si>
  <si>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</si>
  <si>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</si>
  <si>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</si>
  <si>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</si>
  <si>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</si>
  <si>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</si>
  <si>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</si>
  <si>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</si>
  <si>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</si>
  <si>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</si>
  <si>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</si>
  <si>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</si>
  <si>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</si>
  <si>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</si>
  <si>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</si>
  <si>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</si>
  <si>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</si>
  <si>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</si>
  <si>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</si>
  <si>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</si>
  <si>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</si>
  <si>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</si>
  <si>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</si>
  <si>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</si>
  <si>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</si>
  <si>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</si>
  <si>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</si>
  <si>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</si>
  <si>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</si>
  <si>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</si>
  <si>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</si>
  <si>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</si>
  <si>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</si>
  <si>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</si>
  <si>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</si>
  <si>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</si>
  <si>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</si>
  <si>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</si>
  <si>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</si>
  <si>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</si>
  <si>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</si>
  <si>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</si>
  <si>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</si>
  <si>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</si>
  <si>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</si>
  <si>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</si>
  <si>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</si>
  <si>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</si>
  <si>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</si>
  <si>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</si>
  <si>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</si>
  <si>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</si>
  <si>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</si>
  <si>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</si>
  <si>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</si>
  <si>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</si>
  <si>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</si>
  <si>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</si>
  <si>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</si>
  <si>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</si>
  <si>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</si>
  <si>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</si>
  <si>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</si>
  <si>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</si>
  <si>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</si>
  <si>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</si>
  <si>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</si>
  <si>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</si>
  <si>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</si>
  <si>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</si>
  <si>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</si>
  <si>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</si>
  <si>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</si>
  <si>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</si>
  <si>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</si>
  <si>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</si>
  <si>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</si>
  <si>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</si>
  <si>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</si>
  <si>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</si>
  <si>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</si>
  <si>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</si>
  <si>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</si>
  <si>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</si>
  <si>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</si>
  <si>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</si>
  <si>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</si>
  <si>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</si>
  <si>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</si>
  <si>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</si>
  <si>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</si>
  <si>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</si>
  <si>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</si>
  <si>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</si>
  <si>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</si>
  <si>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</si>
  <si>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</si>
  <si>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</si>
  <si>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</si>
  <si>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</si>
  <si>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</si>
  <si>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</si>
  <si>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</si>
  <si>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</si>
  <si>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</si>
  <si>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</si>
  <si>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</si>
  <si>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</si>
  <si>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</si>
  <si>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</si>
  <si>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</si>
  <si>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</si>
  <si>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</si>
  <si>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</si>
  <si>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</si>
  <si>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</si>
  <si>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</si>
  <si>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</si>
  <si>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</si>
  <si>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</si>
  <si>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</si>
  <si>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</si>
  <si>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</si>
  <si>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</si>
  <si>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</si>
  <si>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</si>
  <si>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</si>
  <si>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</si>
  <si>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</si>
  <si>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</si>
  <si>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</si>
  <si>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</si>
  <si>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</si>
  <si>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</si>
  <si>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</si>
  <si>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</si>
  <si>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</si>
  <si>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</si>
  <si>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</si>
  <si>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</si>
  <si>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</si>
  <si>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</si>
  <si>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</si>
  <si>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</si>
  <si>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</si>
  <si>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</si>
  <si>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</si>
  <si>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</si>
  <si>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</si>
  <si>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</si>
  <si>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</si>
  <si>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</si>
  <si>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</si>
  <si>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</si>
  <si>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</si>
  <si>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</si>
  <si>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</si>
  <si>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</si>
  <si>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</si>
  <si>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</si>
  <si>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</si>
  <si>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</si>
  <si>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</si>
  <si>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</si>
  <si>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</si>
  <si>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</si>
  <si>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</si>
  <si>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</si>
  <si>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</si>
  <si>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</si>
  <si>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</si>
  <si>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</si>
  <si>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</si>
  <si>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</si>
  <si>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</si>
  <si>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</si>
  <si>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</si>
  <si>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</si>
  <si>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</si>
  <si>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</si>
  <si>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</si>
  <si>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</si>
  <si>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</si>
  <si>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</si>
  <si>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</si>
  <si>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</si>
  <si>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</si>
  <si>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</si>
  <si>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</si>
  <si>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</si>
  <si>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</si>
  <si>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</si>
  <si>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</si>
  <si>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</si>
  <si>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</si>
  <si>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</si>
  <si>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</si>
  <si>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</si>
  <si>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</si>
  <si>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</si>
  <si>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</si>
  <si>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</si>
  <si>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</si>
  <si>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</si>
  <si>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</si>
  <si>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</si>
  <si>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</si>
  <si>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</si>
  <si>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</si>
  <si>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</si>
  <si>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</si>
  <si>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</si>
  <si>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</si>
  <si>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</si>
  <si>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</si>
  <si>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</si>
  <si>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</si>
  <si>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</si>
  <si>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</si>
  <si>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</si>
  <si>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</si>
  <si>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</si>
  <si>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</si>
  <si>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</si>
  <si>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</si>
  <si>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</si>
  <si>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</si>
  <si>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</si>
  <si>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</si>
  <si>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</si>
  <si>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</si>
  <si>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</si>
  <si>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</si>
  <si>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</si>
  <si>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</si>
  <si>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</si>
  <si>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</si>
  <si>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</si>
  <si>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</si>
  <si>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</si>
  <si>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</si>
  <si>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</si>
  <si>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</si>
  <si>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</si>
  <si>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</si>
  <si>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</si>
  <si>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</si>
  <si>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</si>
  <si>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</si>
  <si>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</si>
  <si>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</si>
  <si>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</si>
  <si>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</si>
  <si>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</si>
  <si>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</si>
  <si>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</si>
  <si>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</si>
  <si>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</si>
  <si>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</si>
  <si>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</si>
  <si>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</si>
  <si>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</si>
  <si>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</si>
  <si>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</si>
  <si>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</si>
  <si>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</si>
  <si>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</si>
  <si>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</si>
  <si>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</si>
  <si>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</si>
  <si>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</si>
  <si>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</si>
  <si>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</si>
  <si>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</si>
  <si>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</si>
  <si>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</si>
  <si>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</si>
  <si>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</si>
  <si>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</si>
  <si>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</si>
  <si>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</si>
  <si>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</si>
  <si>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</si>
  <si>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</si>
  <si>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</si>
  <si>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</si>
  <si>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</si>
  <si>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</si>
  <si>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</si>
  <si>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</si>
  <si>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</si>
  <si>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</si>
  <si>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</si>
  <si>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</si>
  <si>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</si>
  <si>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</si>
  <si>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</si>
  <si>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</si>
  <si>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</si>
  <si>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</si>
  <si>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</si>
  <si>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</si>
  <si>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</si>
  <si>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</si>
  <si>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</si>
  <si>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</si>
  <si>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</si>
  <si>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</si>
  <si>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</si>
  <si>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</si>
  <si>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</si>
  <si>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</si>
  <si>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</si>
  <si>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</si>
  <si>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</si>
  <si>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</si>
  <si>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</si>
  <si>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</si>
  <si>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</si>
  <si>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</si>
  <si>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</si>
  <si>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</si>
  <si>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</si>
  <si>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</si>
  <si>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</si>
  <si>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</si>
  <si>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</si>
  <si>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</si>
  <si>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</si>
  <si>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</si>
  <si>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</si>
  <si>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</si>
  <si>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</si>
  <si>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</si>
  <si>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</si>
  <si>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</si>
  <si>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</si>
  <si>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</si>
  <si>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</si>
  <si>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</si>
  <si>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</si>
  <si>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</si>
  <si>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</si>
  <si>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</si>
  <si>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</si>
  <si>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</si>
  <si>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</si>
  <si>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</si>
  <si>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</si>
  <si>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</si>
  <si>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</si>
  <si>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</si>
  <si>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</si>
  <si>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</si>
  <si>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</si>
  <si>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</si>
  <si>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</si>
  <si>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</si>
  <si>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</si>
  <si>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</si>
  <si>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</si>
  <si>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</si>
  <si>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</si>
  <si>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</si>
  <si>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</si>
  <si>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</si>
  <si>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</si>
  <si>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</si>
  <si>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</si>
  <si>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</si>
  <si>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</si>
  <si>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</si>
  <si>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</si>
  <si>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</si>
  <si>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</si>
  <si>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</si>
  <si>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</si>
  <si>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</si>
  <si>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</si>
  <si>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</si>
  <si>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</si>
  <si>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</si>
  <si>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</si>
  <si>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</si>
  <si>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</si>
  <si>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</si>
  <si>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</si>
  <si>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</si>
  <si>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</si>
  <si>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</si>
  <si>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</si>
  <si>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</si>
  <si>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</si>
  <si>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</si>
  <si>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</si>
  <si>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</si>
  <si>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</si>
  <si>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</si>
  <si>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</si>
  <si>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</si>
  <si>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</si>
  <si>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</si>
  <si>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</si>
  <si>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</si>
  <si>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</si>
  <si>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</si>
  <si>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</si>
  <si>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</si>
  <si>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</si>
  <si>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</si>
  <si>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</si>
  <si>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</si>
  <si>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</si>
  <si>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</si>
  <si>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</si>
  <si>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</si>
  <si>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</si>
  <si>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</si>
  <si>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</si>
  <si>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</si>
  <si>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</si>
  <si>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</si>
  <si>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</si>
  <si>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</si>
  <si>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</si>
  <si>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</si>
  <si>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</si>
  <si>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</si>
  <si>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</si>
  <si>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</si>
  <si>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</si>
  <si>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</si>
  <si>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</si>
  <si>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</si>
  <si>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</si>
  <si>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</si>
  <si>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</si>
  <si>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</si>
  <si>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</si>
  <si>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</si>
  <si>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</si>
  <si>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</si>
  <si>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</si>
  <si>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</si>
  <si>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</si>
  <si>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</si>
  <si>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</si>
  <si>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</si>
  <si>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</si>
  <si>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</si>
  <si>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</si>
  <si>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</si>
  <si>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</si>
  <si>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</si>
  <si>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</si>
  <si>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</si>
  <si>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</si>
  <si>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</si>
  <si>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</si>
  <si>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</si>
  <si>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</si>
  <si>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</si>
  <si>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</si>
  <si>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</si>
  <si>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</si>
  <si>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</si>
  <si>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</si>
  <si>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</si>
  <si>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</si>
  <si>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</si>
  <si>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</si>
  <si>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</si>
  <si>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</si>
  <si>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</si>
  <si>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</si>
  <si>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</si>
  <si>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</si>
  <si>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</si>
  <si>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</si>
  <si>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</si>
  <si>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</si>
  <si>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</si>
  <si>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</si>
  <si>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</si>
  <si>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</si>
  <si>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</si>
  <si>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</si>
  <si>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</si>
  <si>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</si>
  <si>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</si>
  <si>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</si>
  <si>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</si>
  <si>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</si>
  <si>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</si>
  <si>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</si>
  <si>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</si>
  <si>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</si>
  <si>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</si>
  <si>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</si>
  <si>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.</t>
  </si>
  <si>
    <t>Private Purpose Trusts (Scholarships)</t>
  </si>
  <si>
    <t>Permanent Funds</t>
  </si>
  <si>
    <t>7/05</t>
  </si>
  <si>
    <t>8/15</t>
  </si>
  <si>
    <t>7/06</t>
  </si>
  <si>
    <t>8/21</t>
  </si>
  <si>
    <t>11/02</t>
  </si>
  <si>
    <t>11/12</t>
  </si>
  <si>
    <t>Jaffrey-Rindge Cooperative School District (SAU47)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</si>
</sst>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http://www.education.nh.gov/DOE-25/FY2011-2012/Final/TOT08.xlsx" TargetMode="External"/><Relationship Id="rId13" Type="http://schemas.openxmlformats.org/officeDocument/2006/relationships/externalLinkPath" Target="http://www.education.nh.gov/DOE-25/FY2011-2012/Final/TOT13.xlsx" TargetMode="External"/><Relationship Id="rId18" Type="http://schemas.openxmlformats.org/officeDocument/2006/relationships/externalLinkPath" Target="http://www.education.nh.gov/DOE-25/FY2011-2012/Final/TOT18.xlsx" TargetMode="External"/><Relationship Id="rId3" Type="http://schemas.openxmlformats.org/officeDocument/2006/relationships/externalLinkPath" Target="http://www.education.nh.gov/DOE-25/FY2011-2012/Final/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http://www.education.nh.gov/DOE-25/FY2011-2012/Final/TOT07.xlsx" TargetMode="External"/><Relationship Id="rId12" Type="http://schemas.openxmlformats.org/officeDocument/2006/relationships/externalLinkPath" Target="http://www.education.nh.gov/DOE-25/FY2011-2012/Final/TOT12.xlsx" TargetMode="External"/><Relationship Id="rId17" Type="http://schemas.openxmlformats.org/officeDocument/2006/relationships/externalLinkPath" Target="http://www.education.nh.gov/DOE-25/FY2011-2012/Final/TOT17.xlsx" TargetMode="External"/><Relationship Id="rId2" Type="http://schemas.openxmlformats.org/officeDocument/2006/relationships/externalLinkPath" Target="http://www.education.nh.gov/DOE-25/FY2011-2012/Final/TOT02.xlsx" TargetMode="External"/><Relationship Id="rId16" Type="http://schemas.openxmlformats.org/officeDocument/2006/relationships/externalLinkPath" Target="http://www.education.nh.gov/DOE-25/FY2011-2012/Final/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http://www.education.nh.gov/DOE-25/FY2011-2012/Final/TOT01.xlsx" TargetMode="External"/><Relationship Id="rId6" Type="http://schemas.openxmlformats.org/officeDocument/2006/relationships/externalLinkPath" Target="http://www.education.nh.gov/DOE-25/FY2011-2012/Final/TOT06.xlsx" TargetMode="External"/><Relationship Id="rId11" Type="http://schemas.openxmlformats.org/officeDocument/2006/relationships/externalLinkPath" Target="http://www.education.nh.gov/DOE-25/FY2011-2012/Final/TOT11.xlsx" TargetMode="External"/><Relationship Id="rId5" Type="http://schemas.openxmlformats.org/officeDocument/2006/relationships/externalLinkPath" Target="http://www.education.nh.gov/DOE-25/FY2011-2012/Final/TOT05.xlsx" TargetMode="External"/><Relationship Id="rId15" Type="http://schemas.openxmlformats.org/officeDocument/2006/relationships/externalLinkPath" Target="http://www.education.nh.gov/DOE-25/FY2011-2012/Final/TOT15.xlsx" TargetMode="External"/><Relationship Id="rId10" Type="http://schemas.openxmlformats.org/officeDocument/2006/relationships/externalLinkPath" Target="http://www.education.nh.gov/DOE-25/FY2011-2012/Final/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http://www.education.nh.gov/DOE-25/FY2011-2012/Final/TOT04.xlsx" TargetMode="External"/><Relationship Id="rId9" Type="http://schemas.openxmlformats.org/officeDocument/2006/relationships/externalLinkPath" Target="http://www.education.nh.gov/DOE-25/FY2011-2012/Final/TOT09.xlsx" TargetMode="External"/><Relationship Id="rId14" Type="http://schemas.openxmlformats.org/officeDocument/2006/relationships/externalLinkPath" Target="http://www.education.nh.gov/DOE-25/FY2011-2012/Final/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918</v>
      </c>
      <c r="B2" s="21">
        <v>274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991223.69+4000</f>
        <v>995223.69</v>
      </c>
      <c r="G9" s="18">
        <v>1875.81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2344203.2599999998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337227.29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52504.959999999999</v>
      </c>
      <c r="G13" s="18">
        <v>54588.02</v>
      </c>
      <c r="H13" s="18">
        <v>329785.88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470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27536.5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1412962.44</v>
      </c>
      <c r="G19" s="41">
        <f>SUM(G9:G18)</f>
        <v>56463.829999999994</v>
      </c>
      <c r="H19" s="41">
        <f>SUM(H9:H18)</f>
        <v>329785.88</v>
      </c>
      <c r="I19" s="41">
        <f>SUM(I9:I18)</f>
        <v>0</v>
      </c>
      <c r="J19" s="41">
        <f>SUM(J9:J18)</f>
        <v>2344203.2599999998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7441.41</v>
      </c>
      <c r="H22" s="18">
        <v>329785.88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 t="s">
        <v>909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150133.20000000001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8">
        <v>36874.39</v>
      </c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41575.760000000002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3180.53+3909.27+22815.33</f>
        <v>29905.13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12000.84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221614.09000000003</v>
      </c>
      <c r="G32" s="41">
        <f>SUM(G22:G31)</f>
        <v>56316.639999999999</v>
      </c>
      <c r="H32" s="41">
        <f>SUM(H22:H31)</f>
        <v>329785.88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27536.5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774315.22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38908.74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147.19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1530979.3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382212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47638.22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225332.66</v>
      </c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508628.97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1191348.3500000001</v>
      </c>
      <c r="G50" s="41">
        <f>SUM(G35:G49)</f>
        <v>147.19</v>
      </c>
      <c r="H50" s="41">
        <f>SUM(H35:H49)</f>
        <v>0</v>
      </c>
      <c r="I50" s="41">
        <f>SUM(I35:I49)</f>
        <v>0</v>
      </c>
      <c r="J50" s="41">
        <f>SUM(J35:J49)</f>
        <v>2344203.2599999998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1412962.4400000002</v>
      </c>
      <c r="G51" s="41">
        <f>G50+G32</f>
        <v>56463.83</v>
      </c>
      <c r="H51" s="41">
        <f>H50+H32</f>
        <v>329785.88</v>
      </c>
      <c r="I51" s="41">
        <f>I50+I32</f>
        <v>0</v>
      </c>
      <c r="J51" s="41">
        <f>J50+J32</f>
        <v>2344203.2599999998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13535176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13535176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9588.25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600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3875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7932.09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21995.34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>
        <v>89968.69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283153.78000000003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2515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34477.449999999997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36992.449999999997</v>
      </c>
      <c r="G110" s="41">
        <f>SUM(G95:G109)</f>
        <v>283153.78000000003</v>
      </c>
      <c r="H110" s="41">
        <f>SUM(H95:H109)</f>
        <v>0</v>
      </c>
      <c r="I110" s="41">
        <f>SUM(I95:I109)</f>
        <v>0</v>
      </c>
      <c r="J110" s="41">
        <f>SUM(J95:J109)</f>
        <v>89968.69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13594163.789999999</v>
      </c>
      <c r="G111" s="41">
        <f>G59+G110</f>
        <v>283153.78000000003</v>
      </c>
      <c r="H111" s="41">
        <f>H59+H78+H93+H110</f>
        <v>0</v>
      </c>
      <c r="I111" s="41">
        <f>I59+I110</f>
        <v>0</v>
      </c>
      <c r="J111" s="41">
        <f>J59+J110</f>
        <v>89968.69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5175438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2375987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7551425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373098.16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203362.8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6747.73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>
        <v>7553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7277.45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583208.68999999994</v>
      </c>
      <c r="G135" s="41">
        <f>SUM(G122:G134)</f>
        <v>7277.45</v>
      </c>
      <c r="H135" s="41">
        <f>SUM(H122:H134)</f>
        <v>7553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8134633.6899999995</v>
      </c>
      <c r="G139" s="41">
        <f>G120+SUM(G135:G136)</f>
        <v>7277.45</v>
      </c>
      <c r="H139" s="41">
        <f>H120+SUM(H135:H138)</f>
        <v>7553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404425.46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408819.18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517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262787.19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376105.61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191171.48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191171.48</v>
      </c>
      <c r="G161" s="41">
        <f>SUM(G149:G160)</f>
        <v>262787.19</v>
      </c>
      <c r="H161" s="41">
        <f>SUM(H149:H160)</f>
        <v>1189867.25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191171.48</v>
      </c>
      <c r="G168" s="41">
        <f>G146+G161+SUM(G162:G167)</f>
        <v>262787.19</v>
      </c>
      <c r="H168" s="41">
        <f>H146+H161+SUM(H162:H167)</f>
        <v>1189867.25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40000</v>
      </c>
      <c r="H178" s="18"/>
      <c r="I178" s="18"/>
      <c r="J178" s="18">
        <v>350000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f>249631.66-231809.03</f>
        <v>17822.630000000005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17822.630000000005</v>
      </c>
      <c r="G182" s="41">
        <f>SUM(G178:G181)</f>
        <v>40000</v>
      </c>
      <c r="H182" s="41">
        <f>SUM(H178:H181)</f>
        <v>0</v>
      </c>
      <c r="I182" s="41">
        <f>SUM(I178:I181)</f>
        <v>0</v>
      </c>
      <c r="J182" s="41">
        <f>SUM(J178:J181)</f>
        <v>350000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231809.03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231809.03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249631.66</v>
      </c>
      <c r="G191" s="41">
        <f>G182+SUM(G187:G190)</f>
        <v>40000</v>
      </c>
      <c r="H191" s="41">
        <f>+H182+SUM(H187:H190)</f>
        <v>0</v>
      </c>
      <c r="I191" s="41">
        <f>I176+I182+SUM(I187:I190)</f>
        <v>0</v>
      </c>
      <c r="J191" s="41">
        <f>J182</f>
        <v>350000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22169600.619999997</v>
      </c>
      <c r="G192" s="47">
        <f>G111+G139+G168+G191</f>
        <v>593218.42000000004</v>
      </c>
      <c r="H192" s="47">
        <f>H111+H139+H168+H191</f>
        <v>1197420.25</v>
      </c>
      <c r="I192" s="47">
        <f>I111+I139+I168+I191</f>
        <v>0</v>
      </c>
      <c r="J192" s="47">
        <f>J111+J139+J191</f>
        <v>439968.69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2361361.67</v>
      </c>
      <c r="G196" s="18">
        <v>891140.96</v>
      </c>
      <c r="H196" s="18">
        <v>20733.3</v>
      </c>
      <c r="I196" s="18">
        <v>73309.83</v>
      </c>
      <c r="J196" s="18">
        <v>10926.05</v>
      </c>
      <c r="K196" s="18">
        <v>100</v>
      </c>
      <c r="L196" s="19">
        <f>SUM(F196:K196)</f>
        <v>3357571.8099999996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1126876.79</v>
      </c>
      <c r="G197" s="18">
        <v>466719.93</v>
      </c>
      <c r="H197" s="18">
        <v>488955.4</v>
      </c>
      <c r="I197" s="18">
        <v>17532.7</v>
      </c>
      <c r="J197" s="18">
        <v>694.52</v>
      </c>
      <c r="K197" s="18">
        <v>11713.9</v>
      </c>
      <c r="L197" s="19">
        <f>SUM(F197:K197)</f>
        <v>2112493.2400000002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87181</v>
      </c>
      <c r="G199" s="18">
        <v>15462.33</v>
      </c>
      <c r="H199" s="18"/>
      <c r="I199" s="18">
        <v>1178.8599999999999</v>
      </c>
      <c r="J199" s="18"/>
      <c r="K199" s="18">
        <v>675</v>
      </c>
      <c r="L199" s="19">
        <f>SUM(F199:K199)</f>
        <v>104497.19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359728.94</v>
      </c>
      <c r="G201" s="18">
        <v>148025.85</v>
      </c>
      <c r="H201" s="18">
        <v>24780.14</v>
      </c>
      <c r="I201" s="18">
        <v>6002.79</v>
      </c>
      <c r="J201" s="18">
        <v>2360.75</v>
      </c>
      <c r="K201" s="18"/>
      <c r="L201" s="19">
        <f t="shared" ref="L201:L207" si="0">SUM(F201:K201)</f>
        <v>540898.47000000009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168174.33</v>
      </c>
      <c r="G202" s="18">
        <v>63616.87</v>
      </c>
      <c r="H202" s="18">
        <v>25169.8</v>
      </c>
      <c r="I202" s="18">
        <v>19051.490000000002</v>
      </c>
      <c r="J202" s="18">
        <v>2974.8</v>
      </c>
      <c r="K202" s="18">
        <v>2274.8000000000002</v>
      </c>
      <c r="L202" s="19">
        <f t="shared" si="0"/>
        <v>281262.08999999997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82122.48</v>
      </c>
      <c r="G203" s="18">
        <v>17229.080000000002</v>
      </c>
      <c r="H203" s="18">
        <v>25574.1</v>
      </c>
      <c r="I203" s="18">
        <v>655.14</v>
      </c>
      <c r="J203" s="18"/>
      <c r="K203" s="18">
        <v>4214.8500000000004</v>
      </c>
      <c r="L203" s="19">
        <f t="shared" si="0"/>
        <v>129795.65000000001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305972.45</v>
      </c>
      <c r="G204" s="18">
        <v>135805.85999999999</v>
      </c>
      <c r="H204" s="18">
        <v>8839.85</v>
      </c>
      <c r="I204" s="18">
        <v>3412.65</v>
      </c>
      <c r="J204" s="18">
        <v>1217.49</v>
      </c>
      <c r="K204" s="18">
        <v>4148</v>
      </c>
      <c r="L204" s="19">
        <f t="shared" si="0"/>
        <v>459396.3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94091.91</v>
      </c>
      <c r="G205" s="18">
        <v>44474.98</v>
      </c>
      <c r="H205" s="18">
        <v>41250.480000000003</v>
      </c>
      <c r="I205" s="18">
        <v>3871.56</v>
      </c>
      <c r="J205" s="18">
        <v>606.41</v>
      </c>
      <c r="K205" s="18">
        <v>1998.16</v>
      </c>
      <c r="L205" s="19">
        <f t="shared" si="0"/>
        <v>186293.50000000003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327845.42</v>
      </c>
      <c r="G206" s="18">
        <v>163719.81</v>
      </c>
      <c r="H206" s="18">
        <v>195921.66</v>
      </c>
      <c r="I206" s="18">
        <v>234769.3</v>
      </c>
      <c r="J206" s="18">
        <v>31815.11</v>
      </c>
      <c r="K206" s="18">
        <v>167.2</v>
      </c>
      <c r="L206" s="19">
        <f t="shared" si="0"/>
        <v>954238.49999999988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431997.92</v>
      </c>
      <c r="I207" s="18">
        <v>65225.2</v>
      </c>
      <c r="J207" s="18"/>
      <c r="K207" s="18"/>
      <c r="L207" s="19">
        <f t="shared" si="0"/>
        <v>497223.12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72162.16</v>
      </c>
      <c r="G208" s="18">
        <v>24624.75</v>
      </c>
      <c r="H208" s="18">
        <v>68564.350000000006</v>
      </c>
      <c r="I208" s="18">
        <v>58224.3</v>
      </c>
      <c r="J208" s="18">
        <v>87786.32</v>
      </c>
      <c r="K208" s="18"/>
      <c r="L208" s="19">
        <f>SUM(F208:K208)</f>
        <v>311361.88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4985517.1500000004</v>
      </c>
      <c r="G210" s="41">
        <f t="shared" si="1"/>
        <v>1970820.4200000004</v>
      </c>
      <c r="H210" s="41">
        <f t="shared" si="1"/>
        <v>1331787</v>
      </c>
      <c r="I210" s="41">
        <f t="shared" si="1"/>
        <v>483233.81999999995</v>
      </c>
      <c r="J210" s="41">
        <f t="shared" si="1"/>
        <v>138381.45000000001</v>
      </c>
      <c r="K210" s="41">
        <f t="shared" si="1"/>
        <v>25291.910000000003</v>
      </c>
      <c r="L210" s="41">
        <f t="shared" si="1"/>
        <v>8935031.75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1053882.3899999999</v>
      </c>
      <c r="G214" s="18">
        <v>444396.31</v>
      </c>
      <c r="H214" s="18">
        <v>8329.11</v>
      </c>
      <c r="I214" s="18">
        <v>43403.87</v>
      </c>
      <c r="J214" s="18">
        <v>2913.67</v>
      </c>
      <c r="K214" s="18">
        <v>104</v>
      </c>
      <c r="L214" s="19">
        <f>SUM(F214:K214)</f>
        <v>1553029.35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649502.76</v>
      </c>
      <c r="G215" s="18">
        <v>333530.86</v>
      </c>
      <c r="H215" s="18">
        <v>230038.09</v>
      </c>
      <c r="I215" s="18">
        <v>7804.06</v>
      </c>
      <c r="J215" s="18">
        <v>1236.3900000000001</v>
      </c>
      <c r="K215" s="18">
        <v>6389.41</v>
      </c>
      <c r="L215" s="19">
        <f>SUM(F215:K215)</f>
        <v>1228501.5699999998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138682.76</v>
      </c>
      <c r="G216" s="18">
        <v>39931.4</v>
      </c>
      <c r="H216" s="18">
        <v>591.54999999999995</v>
      </c>
      <c r="I216" s="18">
        <v>6273.97</v>
      </c>
      <c r="J216" s="18">
        <v>2400</v>
      </c>
      <c r="K216" s="18"/>
      <c r="L216" s="19">
        <f>SUM(F216:K216)</f>
        <v>187879.67999999999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54972.31</v>
      </c>
      <c r="G217" s="18">
        <v>9302.8700000000008</v>
      </c>
      <c r="H217" s="18">
        <v>3810</v>
      </c>
      <c r="I217" s="18">
        <v>4108.99</v>
      </c>
      <c r="J217" s="18"/>
      <c r="K217" s="18">
        <v>865</v>
      </c>
      <c r="L217" s="19">
        <f>SUM(F217:K217)</f>
        <v>73059.17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259025.91</v>
      </c>
      <c r="G219" s="18">
        <v>85881.63</v>
      </c>
      <c r="H219" s="18">
        <v>6923.2</v>
      </c>
      <c r="I219" s="18">
        <v>3532.69</v>
      </c>
      <c r="J219" s="18"/>
      <c r="K219" s="18">
        <v>40</v>
      </c>
      <c r="L219" s="19">
        <f t="shared" ref="L219:L225" si="2">SUM(F219:K219)</f>
        <v>355403.43000000005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87578.48</v>
      </c>
      <c r="G220" s="18">
        <v>28366.42</v>
      </c>
      <c r="H220" s="18">
        <v>13728.99</v>
      </c>
      <c r="I220" s="18">
        <v>9975.08</v>
      </c>
      <c r="J220" s="18"/>
      <c r="K220" s="18">
        <v>1240.8</v>
      </c>
      <c r="L220" s="19">
        <f t="shared" si="2"/>
        <v>140889.76999999999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44794.080000000002</v>
      </c>
      <c r="G221" s="18">
        <v>9397.69</v>
      </c>
      <c r="H221" s="18">
        <v>13949.49</v>
      </c>
      <c r="I221" s="18">
        <v>357.34</v>
      </c>
      <c r="J221" s="18"/>
      <c r="K221" s="18">
        <v>2299.0100000000002</v>
      </c>
      <c r="L221" s="19">
        <f t="shared" si="2"/>
        <v>70797.61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242423.22</v>
      </c>
      <c r="G222" s="18">
        <v>102256.63</v>
      </c>
      <c r="H222" s="18">
        <v>6299.76</v>
      </c>
      <c r="I222" s="18">
        <v>910.45</v>
      </c>
      <c r="J222" s="18"/>
      <c r="K222" s="18">
        <v>3105</v>
      </c>
      <c r="L222" s="19">
        <f t="shared" si="2"/>
        <v>354995.06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51322.86</v>
      </c>
      <c r="G223" s="18">
        <v>24259.040000000001</v>
      </c>
      <c r="H223" s="18">
        <v>22500.26</v>
      </c>
      <c r="I223" s="18">
        <v>2111.75</v>
      </c>
      <c r="J223" s="18">
        <v>330.77</v>
      </c>
      <c r="K223" s="18">
        <v>1089.9000000000001</v>
      </c>
      <c r="L223" s="19">
        <f t="shared" si="2"/>
        <v>101614.57999999999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142555.25</v>
      </c>
      <c r="G224" s="18">
        <v>60018.22</v>
      </c>
      <c r="H224" s="18">
        <v>116340.67</v>
      </c>
      <c r="I224" s="18">
        <v>153891.39000000001</v>
      </c>
      <c r="J224" s="18">
        <v>17353.689999999999</v>
      </c>
      <c r="K224" s="18">
        <v>91.2</v>
      </c>
      <c r="L224" s="19">
        <f t="shared" si="2"/>
        <v>490250.42000000004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277066.13</v>
      </c>
      <c r="I225" s="18">
        <v>35577.370000000003</v>
      </c>
      <c r="J225" s="18"/>
      <c r="K225" s="18"/>
      <c r="L225" s="19">
        <f t="shared" si="2"/>
        <v>312643.5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39361.19</v>
      </c>
      <c r="G226" s="18">
        <v>13431.68</v>
      </c>
      <c r="H226" s="18">
        <v>37398.75</v>
      </c>
      <c r="I226" s="18">
        <v>38635.800000000003</v>
      </c>
      <c r="J226" s="18">
        <v>63992.51</v>
      </c>
      <c r="K226" s="18"/>
      <c r="L226" s="19">
        <f>SUM(F226:K226)</f>
        <v>192819.93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2764101.21</v>
      </c>
      <c r="G228" s="41">
        <f>SUM(G214:G227)</f>
        <v>1150772.75</v>
      </c>
      <c r="H228" s="41">
        <f>SUM(H214:H227)</f>
        <v>736976</v>
      </c>
      <c r="I228" s="41">
        <f>SUM(I214:I227)</f>
        <v>306582.76</v>
      </c>
      <c r="J228" s="41">
        <f>SUM(J214:J227)</f>
        <v>88227.03</v>
      </c>
      <c r="K228" s="41">
        <f t="shared" si="3"/>
        <v>15224.32</v>
      </c>
      <c r="L228" s="41">
        <f t="shared" si="3"/>
        <v>5061884.07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1456610.05</v>
      </c>
      <c r="G232" s="18">
        <v>624197.62</v>
      </c>
      <c r="H232" s="18">
        <v>19283.2</v>
      </c>
      <c r="I232" s="18">
        <v>88660.03</v>
      </c>
      <c r="J232" s="18">
        <v>7774.41</v>
      </c>
      <c r="K232" s="18">
        <v>5173.24</v>
      </c>
      <c r="L232" s="19">
        <f>SUM(F232:K232)</f>
        <v>2201698.5500000003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831645.2</v>
      </c>
      <c r="G233" s="18">
        <v>338878.33</v>
      </c>
      <c r="H233" s="18">
        <v>233850.98</v>
      </c>
      <c r="I233" s="18">
        <v>11217.09</v>
      </c>
      <c r="J233" s="18">
        <v>1312.35</v>
      </c>
      <c r="K233" s="18">
        <v>8519.2000000000007</v>
      </c>
      <c r="L233" s="19">
        <f>SUM(F233:K233)</f>
        <v>1425423.1500000001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117137.9</v>
      </c>
      <c r="G234" s="18">
        <v>37901.42</v>
      </c>
      <c r="H234" s="18">
        <v>85662.55</v>
      </c>
      <c r="I234" s="18">
        <v>20349.46</v>
      </c>
      <c r="J234" s="18">
        <v>1747.99</v>
      </c>
      <c r="K234" s="18"/>
      <c r="L234" s="19">
        <f>SUM(F234:K234)</f>
        <v>262799.32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91010.32</v>
      </c>
      <c r="G235" s="18">
        <v>11051.68</v>
      </c>
      <c r="H235" s="18">
        <v>26622.98</v>
      </c>
      <c r="I235" s="18">
        <v>19655.09</v>
      </c>
      <c r="J235" s="18"/>
      <c r="K235" s="18">
        <v>9420.5</v>
      </c>
      <c r="L235" s="19">
        <f>SUM(F235:K235)</f>
        <v>157760.57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348822.48</v>
      </c>
      <c r="G237" s="18">
        <v>125923.84</v>
      </c>
      <c r="H237" s="18">
        <v>8152.53</v>
      </c>
      <c r="I237" s="18">
        <v>10635.59</v>
      </c>
      <c r="J237" s="18"/>
      <c r="K237" s="18">
        <v>90</v>
      </c>
      <c r="L237" s="19">
        <f t="shared" ref="L237:L243" si="4">SUM(F237:K237)</f>
        <v>493624.44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109421.61</v>
      </c>
      <c r="G238" s="18">
        <v>40201.17</v>
      </c>
      <c r="H238" s="18">
        <v>18538.96</v>
      </c>
      <c r="I238" s="18">
        <v>16067.89</v>
      </c>
      <c r="J238" s="18"/>
      <c r="K238" s="18">
        <v>1654.4</v>
      </c>
      <c r="L238" s="19">
        <f t="shared" si="4"/>
        <v>185884.03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59725.440000000002</v>
      </c>
      <c r="G239" s="18">
        <v>12530.26</v>
      </c>
      <c r="H239" s="18">
        <v>18599.34</v>
      </c>
      <c r="I239" s="18">
        <v>476.47</v>
      </c>
      <c r="J239" s="18"/>
      <c r="K239" s="18">
        <v>3065.34</v>
      </c>
      <c r="L239" s="19">
        <f t="shared" si="4"/>
        <v>94396.849999999991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247104.92</v>
      </c>
      <c r="G240" s="18">
        <v>84995.68</v>
      </c>
      <c r="H240" s="18">
        <v>18561.21</v>
      </c>
      <c r="I240" s="18">
        <v>1517.85</v>
      </c>
      <c r="J240" s="18"/>
      <c r="K240" s="18">
        <v>2425</v>
      </c>
      <c r="L240" s="19">
        <f t="shared" si="4"/>
        <v>354604.66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68430.48</v>
      </c>
      <c r="G241" s="18">
        <v>32345.45</v>
      </c>
      <c r="H241" s="18">
        <v>30000.35</v>
      </c>
      <c r="I241" s="18">
        <v>2815.68</v>
      </c>
      <c r="J241" s="18">
        <v>441.02</v>
      </c>
      <c r="K241" s="18">
        <v>1453.21</v>
      </c>
      <c r="L241" s="19">
        <f t="shared" si="4"/>
        <v>135486.18999999997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172288.04</v>
      </c>
      <c r="G242" s="18">
        <v>68869.33</v>
      </c>
      <c r="H242" s="18">
        <v>185295.39</v>
      </c>
      <c r="I242" s="18">
        <v>158155.09</v>
      </c>
      <c r="J242" s="18">
        <v>23138.26</v>
      </c>
      <c r="K242" s="18">
        <v>121.6</v>
      </c>
      <c r="L242" s="19">
        <f t="shared" si="4"/>
        <v>607867.71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468025.78</v>
      </c>
      <c r="I243" s="18">
        <v>47436.51</v>
      </c>
      <c r="J243" s="18"/>
      <c r="K243" s="18"/>
      <c r="L243" s="19">
        <f t="shared" si="4"/>
        <v>515462.29000000004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52481.57</v>
      </c>
      <c r="G244" s="18">
        <v>17908.91</v>
      </c>
      <c r="H244" s="18">
        <v>49864.97</v>
      </c>
      <c r="I244" s="18">
        <v>51354.98</v>
      </c>
      <c r="J244" s="18">
        <v>77766.5</v>
      </c>
      <c r="K244" s="18"/>
      <c r="L244" s="19">
        <f>SUM(F244:K244)</f>
        <v>249376.93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3554678.0099999993</v>
      </c>
      <c r="G246" s="41">
        <f t="shared" si="5"/>
        <v>1394803.69</v>
      </c>
      <c r="H246" s="41">
        <f t="shared" si="5"/>
        <v>1162458.24</v>
      </c>
      <c r="I246" s="41">
        <f t="shared" si="5"/>
        <v>428341.73</v>
      </c>
      <c r="J246" s="41">
        <f t="shared" si="5"/>
        <v>112180.53</v>
      </c>
      <c r="K246" s="41">
        <f t="shared" si="5"/>
        <v>31922.49</v>
      </c>
      <c r="L246" s="41">
        <f t="shared" si="5"/>
        <v>6684384.6900000004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1377</v>
      </c>
      <c r="G250" s="18">
        <v>260.2</v>
      </c>
      <c r="H250" s="18"/>
      <c r="I250" s="18"/>
      <c r="J250" s="18"/>
      <c r="K250" s="18"/>
      <c r="L250" s="19">
        <f t="shared" si="6"/>
        <v>1637.2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>
        <v>110613.15</v>
      </c>
      <c r="K254" s="18"/>
      <c r="L254" s="19">
        <f t="shared" si="6"/>
        <v>110613.15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1377</v>
      </c>
      <c r="G255" s="41">
        <f t="shared" si="7"/>
        <v>260.2</v>
      </c>
      <c r="H255" s="41">
        <f t="shared" si="7"/>
        <v>0</v>
      </c>
      <c r="I255" s="41">
        <f t="shared" si="7"/>
        <v>0</v>
      </c>
      <c r="J255" s="41">
        <f t="shared" si="7"/>
        <v>110613.15</v>
      </c>
      <c r="K255" s="41">
        <f t="shared" si="7"/>
        <v>0</v>
      </c>
      <c r="L255" s="41">
        <f>SUM(F255:K255)</f>
        <v>112250.34999999999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11305673.369999999</v>
      </c>
      <c r="G256" s="41">
        <f t="shared" si="8"/>
        <v>4516657.0600000005</v>
      </c>
      <c r="H256" s="41">
        <f t="shared" si="8"/>
        <v>3231221.24</v>
      </c>
      <c r="I256" s="41">
        <f t="shared" si="8"/>
        <v>1218158.31</v>
      </c>
      <c r="J256" s="41">
        <f t="shared" si="8"/>
        <v>449402.16000000003</v>
      </c>
      <c r="K256" s="41">
        <f t="shared" si="8"/>
        <v>72438.720000000001</v>
      </c>
      <c r="L256" s="41">
        <f t="shared" si="8"/>
        <v>20793550.860000003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805000</v>
      </c>
      <c r="L259" s="19">
        <f>SUM(F259:K259)</f>
        <v>805000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295935</v>
      </c>
      <c r="L260" s="19">
        <f>SUM(F260:K260)</f>
        <v>295935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40000</v>
      </c>
      <c r="L262" s="19">
        <f>SUM(F262:K262)</f>
        <v>40000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350000</v>
      </c>
      <c r="L265" s="19">
        <f t="shared" si="9"/>
        <v>350000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1490935</v>
      </c>
      <c r="L269" s="41">
        <f t="shared" si="9"/>
        <v>1490935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11305673.369999999</v>
      </c>
      <c r="G270" s="42">
        <f t="shared" si="11"/>
        <v>4516657.0600000005</v>
      </c>
      <c r="H270" s="42">
        <f t="shared" si="11"/>
        <v>3231221.24</v>
      </c>
      <c r="I270" s="42">
        <f t="shared" si="11"/>
        <v>1218158.31</v>
      </c>
      <c r="J270" s="42">
        <f t="shared" si="11"/>
        <v>449402.16000000003</v>
      </c>
      <c r="K270" s="42">
        <f t="shared" si="11"/>
        <v>1563373.72</v>
      </c>
      <c r="L270" s="42">
        <f t="shared" si="11"/>
        <v>22284485.860000003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257330.29</v>
      </c>
      <c r="G275" s="18">
        <v>80405.850000000006</v>
      </c>
      <c r="H275" s="18">
        <v>77.88</v>
      </c>
      <c r="I275" s="18">
        <v>638.44000000000005</v>
      </c>
      <c r="J275" s="18"/>
      <c r="K275" s="18"/>
      <c r="L275" s="19">
        <f>SUM(F275:K275)</f>
        <v>338452.46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69227.37</v>
      </c>
      <c r="G276" s="18">
        <v>20654.28</v>
      </c>
      <c r="H276" s="18"/>
      <c r="I276" s="18">
        <v>4765.1499999999996</v>
      </c>
      <c r="J276" s="18"/>
      <c r="K276" s="18"/>
      <c r="L276" s="19">
        <f>SUM(F276:K276)</f>
        <v>94646.799999999988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106802.5</v>
      </c>
      <c r="G278" s="18">
        <v>22588.77</v>
      </c>
      <c r="H278" s="18">
        <v>72844.81</v>
      </c>
      <c r="I278" s="18">
        <v>3989.99</v>
      </c>
      <c r="J278" s="18"/>
      <c r="K278" s="18">
        <v>65</v>
      </c>
      <c r="L278" s="19">
        <f>SUM(F278:K278)</f>
        <v>206291.07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37560.03</v>
      </c>
      <c r="G280" s="18">
        <v>8871.51</v>
      </c>
      <c r="H280" s="18">
        <v>29920</v>
      </c>
      <c r="I280" s="18"/>
      <c r="J280" s="18"/>
      <c r="K280" s="18"/>
      <c r="L280" s="19">
        <f t="shared" ref="L280:L286" si="12">SUM(F280:K280)</f>
        <v>76351.540000000008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77969.490000000005</v>
      </c>
      <c r="G281" s="18">
        <v>36255.620000000003</v>
      </c>
      <c r="H281" s="18">
        <v>32513.02</v>
      </c>
      <c r="I281" s="18">
        <v>239.8</v>
      </c>
      <c r="J281" s="18">
        <v>1168.68</v>
      </c>
      <c r="K281" s="18"/>
      <c r="L281" s="19">
        <f t="shared" si="12"/>
        <v>148146.60999999999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143</v>
      </c>
      <c r="I286" s="18"/>
      <c r="J286" s="18"/>
      <c r="K286" s="18"/>
      <c r="L286" s="19">
        <f t="shared" si="12"/>
        <v>143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548889.68000000005</v>
      </c>
      <c r="G289" s="42">
        <f t="shared" si="13"/>
        <v>168776.03</v>
      </c>
      <c r="H289" s="42">
        <f t="shared" si="13"/>
        <v>135498.71</v>
      </c>
      <c r="I289" s="42">
        <f t="shared" si="13"/>
        <v>9633.3799999999992</v>
      </c>
      <c r="J289" s="42">
        <f t="shared" si="13"/>
        <v>1168.68</v>
      </c>
      <c r="K289" s="42">
        <f t="shared" si="13"/>
        <v>65</v>
      </c>
      <c r="L289" s="41">
        <f t="shared" si="13"/>
        <v>864031.4800000001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1980</v>
      </c>
      <c r="G294" s="18">
        <v>348.1</v>
      </c>
      <c r="H294" s="18"/>
      <c r="I294" s="18">
        <v>7343.5</v>
      </c>
      <c r="J294" s="18"/>
      <c r="K294" s="18"/>
      <c r="L294" s="19">
        <f>SUM(F294:K294)</f>
        <v>9671.6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/>
      <c r="I295" s="18">
        <v>0</v>
      </c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51329.34</v>
      </c>
      <c r="G297" s="18">
        <v>11001.03</v>
      </c>
      <c r="H297" s="18">
        <v>20910.439999999999</v>
      </c>
      <c r="I297" s="18">
        <v>2148.4499999999998</v>
      </c>
      <c r="J297" s="18"/>
      <c r="K297" s="18">
        <v>35</v>
      </c>
      <c r="L297" s="19">
        <f>SUM(F297:K297)</f>
        <v>85424.26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10899.8</v>
      </c>
      <c r="G299" s="18">
        <v>4051.62</v>
      </c>
      <c r="H299" s="18">
        <v>16320</v>
      </c>
      <c r="I299" s="18"/>
      <c r="J299" s="18"/>
      <c r="K299" s="18"/>
      <c r="L299" s="19">
        <f t="shared" ref="L299:L305" si="14">SUM(F299:K299)</f>
        <v>31271.42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1500</v>
      </c>
      <c r="G300" s="18">
        <v>284.39</v>
      </c>
      <c r="H300" s="18">
        <v>17056.919999999998</v>
      </c>
      <c r="I300" s="18">
        <v>130.80000000000001</v>
      </c>
      <c r="J300" s="18">
        <v>637.45000000000005</v>
      </c>
      <c r="K300" s="18"/>
      <c r="L300" s="19">
        <f t="shared" si="14"/>
        <v>19609.559999999998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77</v>
      </c>
      <c r="I305" s="18"/>
      <c r="J305" s="18"/>
      <c r="K305" s="18"/>
      <c r="L305" s="19">
        <f t="shared" si="14"/>
        <v>77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65709.14</v>
      </c>
      <c r="G308" s="42">
        <f t="shared" si="15"/>
        <v>15685.14</v>
      </c>
      <c r="H308" s="42">
        <f t="shared" si="15"/>
        <v>54364.36</v>
      </c>
      <c r="I308" s="42">
        <f t="shared" si="15"/>
        <v>9622.75</v>
      </c>
      <c r="J308" s="42">
        <f t="shared" si="15"/>
        <v>637.45000000000005</v>
      </c>
      <c r="K308" s="42">
        <f t="shared" si="15"/>
        <v>35</v>
      </c>
      <c r="L308" s="41">
        <f t="shared" si="15"/>
        <v>146053.84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2640</v>
      </c>
      <c r="G313" s="18">
        <v>464.12</v>
      </c>
      <c r="H313" s="18"/>
      <c r="I313" s="18">
        <v>0</v>
      </c>
      <c r="J313" s="18"/>
      <c r="K313" s="18"/>
      <c r="L313" s="19">
        <f>SUM(F313:K313)</f>
        <v>3104.12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68403</v>
      </c>
      <c r="G314" s="18">
        <v>13446.51</v>
      </c>
      <c r="H314" s="18"/>
      <c r="I314" s="18">
        <v>0</v>
      </c>
      <c r="J314" s="18"/>
      <c r="K314" s="18"/>
      <c r="L314" s="19">
        <f>SUM(F314:K314)</f>
        <v>81849.509999999995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14533.08</v>
      </c>
      <c r="G318" s="18">
        <v>5402.13</v>
      </c>
      <c r="H318" s="18">
        <v>21760</v>
      </c>
      <c r="I318" s="18"/>
      <c r="J318" s="18"/>
      <c r="K318" s="18"/>
      <c r="L318" s="19">
        <f t="shared" ref="L318:L324" si="16">SUM(F318:K318)</f>
        <v>41695.21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1999.99</v>
      </c>
      <c r="G319" s="18">
        <v>379.14</v>
      </c>
      <c r="H319" s="18">
        <v>22742.560000000001</v>
      </c>
      <c r="I319" s="18">
        <v>174.4</v>
      </c>
      <c r="J319" s="18">
        <v>849.95</v>
      </c>
      <c r="K319" s="18"/>
      <c r="L319" s="19">
        <f t="shared" si="16"/>
        <v>26146.040000000005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87576.07</v>
      </c>
      <c r="G327" s="42">
        <f t="shared" si="17"/>
        <v>19691.900000000001</v>
      </c>
      <c r="H327" s="42">
        <f t="shared" si="17"/>
        <v>44502.559999999998</v>
      </c>
      <c r="I327" s="42">
        <f t="shared" si="17"/>
        <v>174.4</v>
      </c>
      <c r="J327" s="42">
        <f t="shared" si="17"/>
        <v>849.95</v>
      </c>
      <c r="K327" s="42">
        <f t="shared" si="17"/>
        <v>0</v>
      </c>
      <c r="L327" s="41">
        <f t="shared" si="17"/>
        <v>152794.88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7493.85</v>
      </c>
      <c r="G331" s="18">
        <v>573.27</v>
      </c>
      <c r="H331" s="18"/>
      <c r="I331" s="18">
        <v>663.3</v>
      </c>
      <c r="J331" s="18"/>
      <c r="K331" s="18"/>
      <c r="L331" s="19">
        <f t="shared" ref="L331:L336" si="18">SUM(F331:K331)</f>
        <v>8730.42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7473</v>
      </c>
      <c r="G332" s="18">
        <v>514</v>
      </c>
      <c r="H332" s="18"/>
      <c r="I332" s="18"/>
      <c r="J332" s="18"/>
      <c r="K332" s="18"/>
      <c r="L332" s="19">
        <f t="shared" si="18"/>
        <v>7987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14966.85</v>
      </c>
      <c r="G336" s="41">
        <f t="shared" si="19"/>
        <v>1087.27</v>
      </c>
      <c r="H336" s="41">
        <f t="shared" si="19"/>
        <v>0</v>
      </c>
      <c r="I336" s="41">
        <f t="shared" si="19"/>
        <v>663.3</v>
      </c>
      <c r="J336" s="41">
        <f t="shared" si="19"/>
        <v>0</v>
      </c>
      <c r="K336" s="41">
        <f t="shared" si="19"/>
        <v>0</v>
      </c>
      <c r="L336" s="41">
        <f t="shared" si="18"/>
        <v>16717.420000000002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717141.74000000011</v>
      </c>
      <c r="G337" s="41">
        <f t="shared" si="20"/>
        <v>205240.33999999997</v>
      </c>
      <c r="H337" s="41">
        <f t="shared" si="20"/>
        <v>234365.63</v>
      </c>
      <c r="I337" s="41">
        <f t="shared" si="20"/>
        <v>20093.829999999998</v>
      </c>
      <c r="J337" s="41">
        <f t="shared" si="20"/>
        <v>2656.08</v>
      </c>
      <c r="K337" s="41">
        <f t="shared" si="20"/>
        <v>100</v>
      </c>
      <c r="L337" s="41">
        <f t="shared" si="20"/>
        <v>1179597.6200000001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17822.63</v>
      </c>
      <c r="L343" s="19">
        <f t="shared" ref="L343:L349" si="21">SUM(F343:K343)</f>
        <v>17822.63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17822.63</v>
      </c>
      <c r="L350" s="41">
        <f>SUM(L340:L349)</f>
        <v>17822.63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717141.74000000011</v>
      </c>
      <c r="G351" s="41">
        <f>G337</f>
        <v>205240.33999999997</v>
      </c>
      <c r="H351" s="41">
        <f>H337</f>
        <v>234365.63</v>
      </c>
      <c r="I351" s="41">
        <f>I337</f>
        <v>20093.829999999998</v>
      </c>
      <c r="J351" s="41">
        <f>J337</f>
        <v>2656.08</v>
      </c>
      <c r="K351" s="47">
        <f>K337+K350</f>
        <v>17922.63</v>
      </c>
      <c r="L351" s="41">
        <f>L337+L350</f>
        <v>1197420.25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1815</v>
      </c>
      <c r="G357" s="18">
        <v>138.87</v>
      </c>
      <c r="H357" s="18">
        <v>253605.75</v>
      </c>
      <c r="I357" s="18">
        <v>13780.9</v>
      </c>
      <c r="J357" s="18"/>
      <c r="K357" s="18">
        <v>271.92</v>
      </c>
      <c r="L357" s="13">
        <f>SUM(F357:K357)</f>
        <v>269612.44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990</v>
      </c>
      <c r="G358" s="18">
        <v>75.739999999999995</v>
      </c>
      <c r="H358" s="18">
        <v>137290.65</v>
      </c>
      <c r="I358" s="18">
        <v>331.91</v>
      </c>
      <c r="J358" s="18"/>
      <c r="K358" s="18">
        <v>148.32</v>
      </c>
      <c r="L358" s="19">
        <f>SUM(F358:K358)</f>
        <v>138836.62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1320</v>
      </c>
      <c r="G359" s="18">
        <v>101</v>
      </c>
      <c r="H359" s="18">
        <v>183054.19</v>
      </c>
      <c r="I359" s="18">
        <v>442.54</v>
      </c>
      <c r="J359" s="18"/>
      <c r="K359" s="18">
        <v>197.76</v>
      </c>
      <c r="L359" s="19">
        <f>SUM(F359:K359)</f>
        <v>185115.49000000002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4125</v>
      </c>
      <c r="G361" s="47">
        <f t="shared" si="22"/>
        <v>315.61</v>
      </c>
      <c r="H361" s="47">
        <f t="shared" si="22"/>
        <v>573950.59000000008</v>
      </c>
      <c r="I361" s="47">
        <f t="shared" si="22"/>
        <v>14555.35</v>
      </c>
      <c r="J361" s="47">
        <f t="shared" si="22"/>
        <v>0</v>
      </c>
      <c r="K361" s="47">
        <f t="shared" si="22"/>
        <v>618</v>
      </c>
      <c r="L361" s="47">
        <f t="shared" si="22"/>
        <v>593564.55000000005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6404.36</v>
      </c>
      <c r="G367" s="63">
        <v>3493.28</v>
      </c>
      <c r="H367" s="63">
        <v>4657.71</v>
      </c>
      <c r="I367" s="56">
        <f>SUM(F367:H367)</f>
        <v>14555.349999999999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6404.36</v>
      </c>
      <c r="G368" s="47">
        <f>SUM(G366:G367)</f>
        <v>3493.28</v>
      </c>
      <c r="H368" s="47">
        <f>SUM(H366:H367)</f>
        <v>4657.71</v>
      </c>
      <c r="I368" s="47">
        <f>SUM(I366:I367)</f>
        <v>14555.349999999999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561.29</v>
      </c>
      <c r="I387" s="18"/>
      <c r="J387" s="24" t="s">
        <v>289</v>
      </c>
      <c r="K387" s="24" t="s">
        <v>289</v>
      </c>
      <c r="L387" s="56">
        <f t="shared" si="25"/>
        <v>561.29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0</v>
      </c>
      <c r="H388" s="18">
        <v>908.83</v>
      </c>
      <c r="I388" s="18"/>
      <c r="J388" s="24" t="s">
        <v>289</v>
      </c>
      <c r="K388" s="24" t="s">
        <v>289</v>
      </c>
      <c r="L388" s="56">
        <f t="shared" si="25"/>
        <v>908.83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0.25</v>
      </c>
      <c r="I391" s="18"/>
      <c r="J391" s="24" t="s">
        <v>289</v>
      </c>
      <c r="K391" s="24" t="s">
        <v>289</v>
      </c>
      <c r="L391" s="56">
        <f t="shared" si="25"/>
        <v>0.25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1470.37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1470.37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9.1999999999999993</v>
      </c>
      <c r="I395" s="18"/>
      <c r="J395" s="24" t="s">
        <v>289</v>
      </c>
      <c r="K395" s="24" t="s">
        <v>289</v>
      </c>
      <c r="L395" s="56">
        <f t="shared" si="26"/>
        <v>9.1999999999999993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251.74</v>
      </c>
      <c r="I396" s="18"/>
      <c r="J396" s="24" t="s">
        <v>289</v>
      </c>
      <c r="K396" s="24" t="s">
        <v>289</v>
      </c>
      <c r="L396" s="56">
        <f t="shared" si="26"/>
        <v>251.74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350000</v>
      </c>
      <c r="H399" s="18">
        <v>46098.2</v>
      </c>
      <c r="I399" s="18"/>
      <c r="J399" s="24" t="s">
        <v>289</v>
      </c>
      <c r="K399" s="24" t="s">
        <v>289</v>
      </c>
      <c r="L399" s="56">
        <f t="shared" si="26"/>
        <v>396098.2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350000</v>
      </c>
      <c r="H400" s="47">
        <f>SUM(H394:H399)</f>
        <v>46359.14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396359.14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 t="s">
        <v>910</v>
      </c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>
        <v>40553.9</v>
      </c>
      <c r="I402" s="18"/>
      <c r="J402" s="24" t="s">
        <v>289</v>
      </c>
      <c r="K402" s="24" t="s">
        <v>289</v>
      </c>
      <c r="L402" s="56">
        <f>SUM(F402:K402)</f>
        <v>40553.9</v>
      </c>
      <c r="M402" s="8"/>
      <c r="N402" s="270"/>
    </row>
    <row r="403" spans="1:21" s="3" customFormat="1" ht="12" customHeight="1" x14ac:dyDescent="0.15">
      <c r="A403" s="110" t="s">
        <v>911</v>
      </c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>
        <v>1585.28</v>
      </c>
      <c r="I403" s="18"/>
      <c r="J403" s="24" t="s">
        <v>289</v>
      </c>
      <c r="K403" s="24" t="s">
        <v>289</v>
      </c>
      <c r="L403" s="56">
        <f>SUM(F403:K403)</f>
        <v>1585.28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42139.18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42139.18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350000</v>
      </c>
      <c r="H407" s="47">
        <f>H392+H400+H406</f>
        <v>89968.69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439968.69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>
        <v>1522.09</v>
      </c>
      <c r="I413" s="18"/>
      <c r="J413" s="18"/>
      <c r="K413" s="18"/>
      <c r="L413" s="56">
        <f t="shared" si="27"/>
        <v>1522.09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>
        <v>52488.03</v>
      </c>
      <c r="I414" s="18"/>
      <c r="J414" s="18"/>
      <c r="K414" s="18"/>
      <c r="L414" s="56">
        <f t="shared" si="27"/>
        <v>52488.03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>
        <v>11482.45</v>
      </c>
      <c r="I416" s="18"/>
      <c r="J416" s="18"/>
      <c r="K416" s="18"/>
      <c r="L416" s="56">
        <f t="shared" si="27"/>
        <v>11482.45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>
        <v>0.71</v>
      </c>
      <c r="I417" s="18"/>
      <c r="J417" s="18"/>
      <c r="K417" s="18"/>
      <c r="L417" s="56">
        <f t="shared" si="27"/>
        <v>0.71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65493.279999999992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65493.279999999992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27.01</v>
      </c>
      <c r="I421" s="18"/>
      <c r="J421" s="18"/>
      <c r="K421" s="18"/>
      <c r="L421" s="56">
        <f t="shared" si="29"/>
        <v>27.01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>
        <v>730.73</v>
      </c>
      <c r="I422" s="18"/>
      <c r="J422" s="18"/>
      <c r="K422" s="18"/>
      <c r="L422" s="56">
        <f t="shared" si="29"/>
        <v>730.73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176850.88</v>
      </c>
      <c r="G425" s="18">
        <v>33513.269999999997</v>
      </c>
      <c r="H425" s="18">
        <v>10018.56</v>
      </c>
      <c r="I425" s="18">
        <v>14845.76</v>
      </c>
      <c r="J425" s="18"/>
      <c r="K425" s="18">
        <v>231809.03</v>
      </c>
      <c r="L425" s="56">
        <f t="shared" si="29"/>
        <v>467037.5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176850.88</v>
      </c>
      <c r="G426" s="47">
        <f t="shared" si="30"/>
        <v>33513.269999999997</v>
      </c>
      <c r="H426" s="47">
        <f t="shared" si="30"/>
        <v>10776.3</v>
      </c>
      <c r="I426" s="47">
        <f t="shared" si="30"/>
        <v>14845.76</v>
      </c>
      <c r="J426" s="47">
        <f t="shared" si="30"/>
        <v>0</v>
      </c>
      <c r="K426" s="47">
        <f t="shared" si="30"/>
        <v>231809.03</v>
      </c>
      <c r="L426" s="47">
        <f t="shared" si="30"/>
        <v>467795.24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 t="s">
        <v>910</v>
      </c>
      <c r="B428" s="6">
        <v>17</v>
      </c>
      <c r="C428" s="6">
        <v>15</v>
      </c>
      <c r="D428" s="2" t="s">
        <v>433</v>
      </c>
      <c r="E428" s="6"/>
      <c r="F428" s="18"/>
      <c r="G428" s="18"/>
      <c r="H428" s="18">
        <f>22912.3+500</f>
        <v>23412.3</v>
      </c>
      <c r="I428" s="18"/>
      <c r="J428" s="18"/>
      <c r="K428" s="18"/>
      <c r="L428" s="56">
        <f>SUM(F428:K428)</f>
        <v>23412.3</v>
      </c>
      <c r="M428" s="68"/>
      <c r="N428" s="227"/>
    </row>
    <row r="429" spans="1:21" s="58" customFormat="1" ht="12" customHeight="1" x14ac:dyDescent="0.15">
      <c r="A429" s="110" t="s">
        <v>911</v>
      </c>
      <c r="B429" s="6">
        <v>17</v>
      </c>
      <c r="C429" s="6">
        <v>16</v>
      </c>
      <c r="D429" s="2" t="s">
        <v>433</v>
      </c>
      <c r="E429" s="6"/>
      <c r="F429" s="18"/>
      <c r="G429" s="18"/>
      <c r="H429" s="18">
        <v>248.3</v>
      </c>
      <c r="I429" s="18"/>
      <c r="J429" s="18"/>
      <c r="K429" s="18"/>
      <c r="L429" s="56">
        <f>SUM(F429:K429)</f>
        <v>248.3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23660.6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23660.6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176850.88</v>
      </c>
      <c r="G433" s="47">
        <f t="shared" si="32"/>
        <v>33513.269999999997</v>
      </c>
      <c r="H433" s="47">
        <f t="shared" si="32"/>
        <v>99930.18</v>
      </c>
      <c r="I433" s="47">
        <f t="shared" si="32"/>
        <v>14845.76</v>
      </c>
      <c r="J433" s="47">
        <f t="shared" si="32"/>
        <v>0</v>
      </c>
      <c r="K433" s="47">
        <f t="shared" si="32"/>
        <v>231809.03</v>
      </c>
      <c r="L433" s="47">
        <f t="shared" si="32"/>
        <v>556949.12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341906.34</v>
      </c>
      <c r="G439" s="18">
        <v>1189072.96</v>
      </c>
      <c r="H439" s="18">
        <f>779360.36+33863.6</f>
        <v>813223.96</v>
      </c>
      <c r="I439" s="56">
        <f t="shared" si="33"/>
        <v>2344203.2599999998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341906.34</v>
      </c>
      <c r="G445" s="13">
        <f>SUM(G438:G444)</f>
        <v>1189072.96</v>
      </c>
      <c r="H445" s="13">
        <f>SUM(H438:H444)</f>
        <v>813223.96</v>
      </c>
      <c r="I445" s="13">
        <f>SUM(I438:I444)</f>
        <v>2344203.2599999998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341906.34</v>
      </c>
      <c r="G455" s="18">
        <v>1189072.96</v>
      </c>
      <c r="H455" s="18"/>
      <c r="I455" s="56">
        <f t="shared" si="34"/>
        <v>1530979.3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>
        <f>757140.46+17174.76</f>
        <v>774315.22</v>
      </c>
      <c r="I456" s="56">
        <f t="shared" si="34"/>
        <v>774315.22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>
        <v>38908.74</v>
      </c>
      <c r="I457" s="56">
        <f t="shared" si="34"/>
        <v>38908.74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341906.34</v>
      </c>
      <c r="G459" s="83">
        <f>SUM(G453:G458)</f>
        <v>1189072.96</v>
      </c>
      <c r="H459" s="83">
        <f>SUM(H453:H458)</f>
        <v>813223.96</v>
      </c>
      <c r="I459" s="83">
        <f>SUM(I453:I458)</f>
        <v>2344203.2600000002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341906.34</v>
      </c>
      <c r="G460" s="42">
        <f>G451+G459</f>
        <v>1189072.96</v>
      </c>
      <c r="H460" s="42">
        <f>H451+H459</f>
        <v>813223.96</v>
      </c>
      <c r="I460" s="42">
        <f>I451+I459</f>
        <v>2344203.2600000002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1306233.5900000001</v>
      </c>
      <c r="G464" s="18">
        <v>493.32</v>
      </c>
      <c r="H464" s="18">
        <v>0</v>
      </c>
      <c r="I464" s="18">
        <v>0</v>
      </c>
      <c r="J464" s="18">
        <v>2461183.69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22169600.620000001</v>
      </c>
      <c r="G467" s="18">
        <v>593218.42000000004</v>
      </c>
      <c r="H467" s="18">
        <v>1197420.25</v>
      </c>
      <c r="I467" s="18">
        <v>0</v>
      </c>
      <c r="J467" s="18">
        <v>439968.69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22169600.620000001</v>
      </c>
      <c r="G469" s="53">
        <f>SUM(G467:G468)</f>
        <v>593218.42000000004</v>
      </c>
      <c r="H469" s="53">
        <f>SUM(H467:H468)</f>
        <v>1197420.25</v>
      </c>
      <c r="I469" s="53">
        <f>SUM(I467:I468)</f>
        <v>0</v>
      </c>
      <c r="J469" s="53">
        <f>SUM(J467:J468)</f>
        <v>439968.69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22284485.859999999</v>
      </c>
      <c r="G471" s="18">
        <v>593564.55000000005</v>
      </c>
      <c r="H471" s="18">
        <v>1197420.25</v>
      </c>
      <c r="I471" s="18">
        <v>0</v>
      </c>
      <c r="J471" s="18">
        <v>556949.12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22284485.859999999</v>
      </c>
      <c r="G473" s="53">
        <f>SUM(G471:G472)</f>
        <v>593564.55000000005</v>
      </c>
      <c r="H473" s="53">
        <f>SUM(H471:H472)</f>
        <v>1197420.25</v>
      </c>
      <c r="I473" s="53">
        <f>SUM(I471:I472)</f>
        <v>0</v>
      </c>
      <c r="J473" s="53">
        <f>SUM(J471:J472)</f>
        <v>556949.12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1191348.3500000015</v>
      </c>
      <c r="G475" s="53">
        <f>(G464+G469)- G473</f>
        <v>147.18999999994412</v>
      </c>
      <c r="H475" s="53">
        <f>(H464+H469)- H473</f>
        <v>0</v>
      </c>
      <c r="I475" s="53">
        <f>(I464+I469)- I473</f>
        <v>0</v>
      </c>
      <c r="J475" s="53">
        <f>(J464+J469)- J473</f>
        <v>2344203.2599999998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>
        <v>10</v>
      </c>
      <c r="H489" s="154">
        <v>15</v>
      </c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916</v>
      </c>
      <c r="G490" s="155" t="s">
        <v>912</v>
      </c>
      <c r="H490" s="272" t="s">
        <v>914</v>
      </c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917</v>
      </c>
      <c r="G491" s="155" t="s">
        <v>913</v>
      </c>
      <c r="H491" s="272" t="s">
        <v>915</v>
      </c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1300000</v>
      </c>
      <c r="G492" s="18">
        <v>631625</v>
      </c>
      <c r="H492" s="18">
        <v>9247684</v>
      </c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3.4</v>
      </c>
      <c r="G493" s="18">
        <v>5</v>
      </c>
      <c r="H493" s="18">
        <v>5</v>
      </c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130000</v>
      </c>
      <c r="G494" s="18">
        <v>240000</v>
      </c>
      <c r="H494" s="18">
        <v>6150000</v>
      </c>
      <c r="I494" s="18"/>
      <c r="J494" s="18"/>
      <c r="K494" s="53">
        <f>SUM(F494:J494)</f>
        <v>6520000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130000</v>
      </c>
      <c r="G496" s="18">
        <v>60000</v>
      </c>
      <c r="H496" s="18">
        <v>615000</v>
      </c>
      <c r="I496" s="18"/>
      <c r="J496" s="18"/>
      <c r="K496" s="53">
        <f t="shared" si="35"/>
        <v>805000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0</v>
      </c>
      <c r="G497" s="204">
        <v>180000</v>
      </c>
      <c r="H497" s="204">
        <v>5535000</v>
      </c>
      <c r="I497" s="204"/>
      <c r="J497" s="204"/>
      <c r="K497" s="205">
        <f t="shared" si="35"/>
        <v>5715000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13500</v>
      </c>
      <c r="G498" s="18">
        <v>13500</v>
      </c>
      <c r="H498" s="18">
        <v>1183106.26</v>
      </c>
      <c r="I498" s="18"/>
      <c r="J498" s="18"/>
      <c r="K498" s="53">
        <f t="shared" si="35"/>
        <v>1210106.26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13500</v>
      </c>
      <c r="G499" s="42">
        <f>SUM(G497:G498)</f>
        <v>193500</v>
      </c>
      <c r="H499" s="42">
        <f>SUM(H497:H498)</f>
        <v>6718106.2599999998</v>
      </c>
      <c r="I499" s="42">
        <f>SUM(I497:I498)</f>
        <v>0</v>
      </c>
      <c r="J499" s="42">
        <f>SUM(J497:J498)</f>
        <v>0</v>
      </c>
      <c r="K499" s="42">
        <f t="shared" si="35"/>
        <v>6925106.2599999998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0</v>
      </c>
      <c r="G500" s="204">
        <v>60000</v>
      </c>
      <c r="H500" s="204">
        <v>615000</v>
      </c>
      <c r="I500" s="204"/>
      <c r="J500" s="204"/>
      <c r="K500" s="205">
        <f t="shared" si="35"/>
        <v>675000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>
        <v>7500</v>
      </c>
      <c r="H501" s="18">
        <v>252150</v>
      </c>
      <c r="I501" s="18"/>
      <c r="J501" s="18"/>
      <c r="K501" s="53">
        <f t="shared" si="35"/>
        <v>259650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67500</v>
      </c>
      <c r="H502" s="42">
        <f>SUM(H500:H501)</f>
        <v>867150</v>
      </c>
      <c r="I502" s="42">
        <f>SUM(I500:I501)</f>
        <v>0</v>
      </c>
      <c r="J502" s="42">
        <f>SUM(J500:J501)</f>
        <v>0</v>
      </c>
      <c r="K502" s="42">
        <f t="shared" si="35"/>
        <v>934650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1481784.27</v>
      </c>
      <c r="G506" s="144"/>
      <c r="H506" s="144">
        <v>-6163.8</v>
      </c>
      <c r="I506" s="144">
        <v>1475620.47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>
        <v>505000</v>
      </c>
      <c r="G510" s="24" t="s">
        <v>289</v>
      </c>
      <c r="H510" s="18">
        <v>585000</v>
      </c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>
        <v>131796</v>
      </c>
      <c r="G511" s="24" t="s">
        <v>289</v>
      </c>
      <c r="H511" s="18">
        <v>162409.15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25006752.120000001</v>
      </c>
      <c r="G512" s="24" t="s">
        <v>289</v>
      </c>
      <c r="H512" s="18">
        <v>25006752.120000001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1053524.19</v>
      </c>
      <c r="G513" s="24" t="s">
        <v>289</v>
      </c>
      <c r="H513" s="18">
        <v>1143394.6399999999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26697072.310000002</v>
      </c>
      <c r="G516" s="42">
        <f>SUM(G510:G515)</f>
        <v>0</v>
      </c>
      <c r="H516" s="42">
        <f>SUM(H510:H515)</f>
        <v>26897555.91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1031329.34+69227.37</f>
        <v>1100556.71</v>
      </c>
      <c r="G520" s="18">
        <f>441374.25+20654.28</f>
        <v>462028.53</v>
      </c>
      <c r="H520" s="18">
        <f>481042.31+291.85</f>
        <v>481334.16</v>
      </c>
      <c r="I520" s="18">
        <f>14644.13+4765.15</f>
        <v>19409.28</v>
      </c>
      <c r="J520" s="18">
        <f>694.52</f>
        <v>694.52</v>
      </c>
      <c r="K520" s="18">
        <v>0</v>
      </c>
      <c r="L520" s="88">
        <f>SUM(F520:K520)</f>
        <v>2064023.2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586155.4</f>
        <v>586155.4</v>
      </c>
      <c r="G521" s="18">
        <f>315331.91</f>
        <v>315331.90999999997</v>
      </c>
      <c r="H521" s="18">
        <f>228915.44+159.19</f>
        <v>229074.63</v>
      </c>
      <c r="I521" s="18">
        <f>2994.51</f>
        <v>2994.51</v>
      </c>
      <c r="J521" s="18">
        <f>1236.39</f>
        <v>1236.3900000000001</v>
      </c>
      <c r="K521" s="18">
        <v>0</v>
      </c>
      <c r="L521" s="88">
        <f>SUM(F521:K521)</f>
        <v>1134792.8399999999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742005.36+68403</f>
        <v>810408.36</v>
      </c>
      <c r="G522" s="18">
        <f>313631.2+13446.51</f>
        <v>327077.71000000002</v>
      </c>
      <c r="H522" s="18">
        <f>224796.01+212.26</f>
        <v>225008.27000000002</v>
      </c>
      <c r="I522" s="18">
        <f>9082.4</f>
        <v>9082.4</v>
      </c>
      <c r="J522" s="18">
        <f>1312.35</f>
        <v>1312.35</v>
      </c>
      <c r="K522" s="18">
        <v>0</v>
      </c>
      <c r="L522" s="88">
        <f>SUM(F522:K522)</f>
        <v>1372889.09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2497120.4699999997</v>
      </c>
      <c r="G523" s="108">
        <f t="shared" ref="G523:L523" si="36">SUM(G520:G522)</f>
        <v>1104438.1499999999</v>
      </c>
      <c r="H523" s="108">
        <f t="shared" si="36"/>
        <v>935417.06</v>
      </c>
      <c r="I523" s="108">
        <f t="shared" si="36"/>
        <v>31486.190000000002</v>
      </c>
      <c r="J523" s="108">
        <f t="shared" si="36"/>
        <v>3243.26</v>
      </c>
      <c r="K523" s="108">
        <f t="shared" si="36"/>
        <v>0</v>
      </c>
      <c r="L523" s="89">
        <f t="shared" si="36"/>
        <v>4571705.13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140469.29+21455.21</f>
        <v>161924.5</v>
      </c>
      <c r="G525" s="18">
        <f>51126.61+9227.05</f>
        <v>60353.66</v>
      </c>
      <c r="H525" s="18">
        <f>23598+54266.3</f>
        <v>77864.3</v>
      </c>
      <c r="I525" s="18">
        <f>4579.04+239.8</f>
        <v>4818.84</v>
      </c>
      <c r="J525" s="18">
        <f>15000+1168.68</f>
        <v>16168.68</v>
      </c>
      <c r="K525" s="18">
        <f>1179.2</f>
        <v>1179.2</v>
      </c>
      <c r="L525" s="88">
        <f>SUM(F525:K525)</f>
        <v>322309.18000000005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137993.48+11702.84</f>
        <v>149696.32000000001</v>
      </c>
      <c r="G526" s="18">
        <f>50931.1+5032.94</f>
        <v>55964.04</v>
      </c>
      <c r="H526" s="18">
        <f>6346.58+29599.8</f>
        <v>35946.379999999997</v>
      </c>
      <c r="I526" s="18">
        <f>2118.24+130.8</f>
        <v>2249.04</v>
      </c>
      <c r="J526" s="18">
        <f>0+637.46</f>
        <v>637.46</v>
      </c>
      <c r="K526" s="18">
        <f>643.2</f>
        <v>643.20000000000005</v>
      </c>
      <c r="L526" s="88">
        <f>SUM(F526:K526)</f>
        <v>245136.44000000003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145851.67+15603.79</f>
        <v>161455.46000000002</v>
      </c>
      <c r="G527" s="18">
        <f>54905.31+6710.58</f>
        <v>61615.89</v>
      </c>
      <c r="H527" s="18">
        <f>6346.57+39466.4</f>
        <v>45812.97</v>
      </c>
      <c r="I527" s="18">
        <f>2698.16+174.4</f>
        <v>2872.56</v>
      </c>
      <c r="J527" s="18">
        <f>0+849.95</f>
        <v>849.95</v>
      </c>
      <c r="K527" s="18">
        <f>857.6</f>
        <v>857.6</v>
      </c>
      <c r="L527" s="88">
        <f>SUM(F527:K527)</f>
        <v>273464.43000000005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473076.28</v>
      </c>
      <c r="G528" s="89">
        <f t="shared" ref="G528:L528" si="37">SUM(G525:G527)</f>
        <v>177933.59000000003</v>
      </c>
      <c r="H528" s="89">
        <f t="shared" si="37"/>
        <v>159623.65</v>
      </c>
      <c r="I528" s="89">
        <f t="shared" si="37"/>
        <v>9940.44</v>
      </c>
      <c r="J528" s="89">
        <f t="shared" si="37"/>
        <v>17656.09</v>
      </c>
      <c r="K528" s="89">
        <f t="shared" si="37"/>
        <v>2680</v>
      </c>
      <c r="L528" s="89">
        <f t="shared" si="37"/>
        <v>840910.05000000016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104494.58</v>
      </c>
      <c r="G530" s="18">
        <f>26465.83</f>
        <v>26465.83</v>
      </c>
      <c r="H530" s="18">
        <f>7017.81</f>
        <v>7017.81</v>
      </c>
      <c r="I530" s="18">
        <f>3452.57</f>
        <v>3452.57</v>
      </c>
      <c r="J530" s="18">
        <v>0</v>
      </c>
      <c r="K530" s="18">
        <f>11362.34</f>
        <v>11362.34</v>
      </c>
      <c r="L530" s="88">
        <f>SUM(F530:K530)</f>
        <v>152793.13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56997.04</v>
      </c>
      <c r="G531" s="18">
        <f>14435.91</f>
        <v>14435.91</v>
      </c>
      <c r="H531" s="18">
        <f>3827.9</f>
        <v>3827.9</v>
      </c>
      <c r="I531" s="18">
        <f>1883.22</f>
        <v>1883.22</v>
      </c>
      <c r="J531" s="18">
        <v>0</v>
      </c>
      <c r="K531" s="18">
        <f>6197.64</f>
        <v>6197.64</v>
      </c>
      <c r="L531" s="88">
        <f>SUM(F531:K531)</f>
        <v>83341.709999999992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75996.06</v>
      </c>
      <c r="G532" s="18">
        <f>19247.88</f>
        <v>19247.88</v>
      </c>
      <c r="H532" s="18">
        <f>5103.86</f>
        <v>5103.8599999999997</v>
      </c>
      <c r="I532" s="18">
        <f>2510.96</f>
        <v>2510.96</v>
      </c>
      <c r="J532" s="18">
        <v>0</v>
      </c>
      <c r="K532" s="18">
        <f>8263.52</f>
        <v>8263.52</v>
      </c>
      <c r="L532" s="88">
        <f>SUM(F532:K532)</f>
        <v>111122.28000000001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237487.68</v>
      </c>
      <c r="G533" s="89">
        <f t="shared" ref="G533:L533" si="38">SUM(G530:G532)</f>
        <v>60149.62000000001</v>
      </c>
      <c r="H533" s="89">
        <f t="shared" si="38"/>
        <v>15949.57</v>
      </c>
      <c r="I533" s="89">
        <f t="shared" si="38"/>
        <v>7846.75</v>
      </c>
      <c r="J533" s="89">
        <f t="shared" si="38"/>
        <v>0</v>
      </c>
      <c r="K533" s="89">
        <f t="shared" si="38"/>
        <v>25823.5</v>
      </c>
      <c r="L533" s="89">
        <f t="shared" si="38"/>
        <v>347257.12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3003.62</v>
      </c>
      <c r="I535" s="18"/>
      <c r="J535" s="18"/>
      <c r="K535" s="18"/>
      <c r="L535" s="88">
        <f>SUM(F535:K535)</f>
        <v>3003.62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1638.33</v>
      </c>
      <c r="I536" s="18"/>
      <c r="J536" s="18"/>
      <c r="K536" s="18"/>
      <c r="L536" s="88">
        <f>SUM(F536:K536)</f>
        <v>1638.33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2184.44</v>
      </c>
      <c r="I537" s="18"/>
      <c r="J537" s="18"/>
      <c r="K537" s="18"/>
      <c r="L537" s="88">
        <f>SUM(F537:K537)</f>
        <v>2184.44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6826.3899999999994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6826.3899999999994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151161.32</v>
      </c>
      <c r="I540" s="18"/>
      <c r="J540" s="18"/>
      <c r="K540" s="18"/>
      <c r="L540" s="88">
        <f>SUM(F540:K540)</f>
        <v>151161.32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117214.62</v>
      </c>
      <c r="I541" s="18"/>
      <c r="J541" s="18"/>
      <c r="K541" s="18"/>
      <c r="L541" s="88">
        <f>SUM(F541:K541)</f>
        <v>117214.62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117210.19</v>
      </c>
      <c r="I542" s="18"/>
      <c r="J542" s="18"/>
      <c r="K542" s="18"/>
      <c r="L542" s="88">
        <f>SUM(F542:K542)</f>
        <v>117210.19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385586.13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385586.13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3207684.43</v>
      </c>
      <c r="G544" s="89">
        <f t="shared" ref="G544:L544" si="41">G523+G528+G533+G538+G543</f>
        <v>1342521.36</v>
      </c>
      <c r="H544" s="89">
        <f t="shared" si="41"/>
        <v>1503402.7999999998</v>
      </c>
      <c r="I544" s="89">
        <f t="shared" si="41"/>
        <v>49273.380000000005</v>
      </c>
      <c r="J544" s="89">
        <f t="shared" si="41"/>
        <v>20899.349999999999</v>
      </c>
      <c r="K544" s="89">
        <f t="shared" si="41"/>
        <v>28503.5</v>
      </c>
      <c r="L544" s="89">
        <f t="shared" si="41"/>
        <v>6152284.8199999994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2064023.2</v>
      </c>
      <c r="G548" s="87">
        <f>L525</f>
        <v>322309.18000000005</v>
      </c>
      <c r="H548" s="87">
        <f>L530</f>
        <v>152793.13</v>
      </c>
      <c r="I548" s="87">
        <f>L535</f>
        <v>3003.62</v>
      </c>
      <c r="J548" s="87">
        <f>L540</f>
        <v>151161.32</v>
      </c>
      <c r="K548" s="87">
        <f>SUM(F548:J548)</f>
        <v>2693290.4499999997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1134792.8399999999</v>
      </c>
      <c r="G549" s="87">
        <f>L526</f>
        <v>245136.44000000003</v>
      </c>
      <c r="H549" s="87">
        <f>L531</f>
        <v>83341.709999999992</v>
      </c>
      <c r="I549" s="87">
        <f>L536</f>
        <v>1638.33</v>
      </c>
      <c r="J549" s="87">
        <f>L541</f>
        <v>117214.62</v>
      </c>
      <c r="K549" s="87">
        <f>SUM(F549:J549)</f>
        <v>1582123.94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1372889.09</v>
      </c>
      <c r="G550" s="87">
        <f>L527</f>
        <v>273464.43000000005</v>
      </c>
      <c r="H550" s="87">
        <f>L532</f>
        <v>111122.28000000001</v>
      </c>
      <c r="I550" s="87">
        <f>L537</f>
        <v>2184.44</v>
      </c>
      <c r="J550" s="87">
        <f>L542</f>
        <v>117210.19</v>
      </c>
      <c r="K550" s="87">
        <f>SUM(F550:J550)</f>
        <v>1876870.43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4571705.13</v>
      </c>
      <c r="G551" s="89">
        <f t="shared" si="42"/>
        <v>840910.05000000016</v>
      </c>
      <c r="H551" s="89">
        <f t="shared" si="42"/>
        <v>347257.12</v>
      </c>
      <c r="I551" s="89">
        <f t="shared" si="42"/>
        <v>6826.3899999999994</v>
      </c>
      <c r="J551" s="89">
        <f t="shared" si="42"/>
        <v>385586.13</v>
      </c>
      <c r="K551" s="89">
        <f t="shared" si="42"/>
        <v>6152284.8199999994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4584.79</v>
      </c>
      <c r="G561" s="18">
        <v>350.74</v>
      </c>
      <c r="H561" s="18">
        <v>554.02</v>
      </c>
      <c r="I561" s="18"/>
      <c r="J561" s="18"/>
      <c r="K561" s="18"/>
      <c r="L561" s="88">
        <f>SUM(F561:K561)</f>
        <v>5489.5499999999993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2500.8000000000002</v>
      </c>
      <c r="G562" s="18">
        <v>191.32</v>
      </c>
      <c r="H562" s="18">
        <v>302.2</v>
      </c>
      <c r="I562" s="18"/>
      <c r="J562" s="18"/>
      <c r="K562" s="18"/>
      <c r="L562" s="88">
        <f>SUM(F562:K562)</f>
        <v>2994.32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3334.4</v>
      </c>
      <c r="G563" s="18">
        <v>255.09</v>
      </c>
      <c r="H563" s="18">
        <v>402.93</v>
      </c>
      <c r="I563" s="18"/>
      <c r="J563" s="18"/>
      <c r="K563" s="18"/>
      <c r="L563" s="88">
        <f>SUM(F563:K563)</f>
        <v>3992.42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10419.99</v>
      </c>
      <c r="G564" s="89">
        <f t="shared" si="44"/>
        <v>797.15</v>
      </c>
      <c r="H564" s="89">
        <f t="shared" si="44"/>
        <v>1259.1500000000001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12476.289999999999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23970.2</v>
      </c>
      <c r="G566" s="18">
        <v>8935.0300000000007</v>
      </c>
      <c r="H566" s="18">
        <v>895.28</v>
      </c>
      <c r="I566" s="18">
        <v>4587.1899999999996</v>
      </c>
      <c r="J566" s="18"/>
      <c r="K566" s="18">
        <v>351.56</v>
      </c>
      <c r="L566" s="88">
        <f>SUM(F566:K566)</f>
        <v>38739.26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13074.65</v>
      </c>
      <c r="G567" s="18">
        <v>4873.66</v>
      </c>
      <c r="H567" s="18">
        <v>488.34</v>
      </c>
      <c r="I567" s="18">
        <v>2502.1</v>
      </c>
      <c r="J567" s="18"/>
      <c r="K567" s="18">
        <v>191.76</v>
      </c>
      <c r="L567" s="88">
        <f>SUM(F567:K567)</f>
        <v>21130.509999999995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17432.87</v>
      </c>
      <c r="G568" s="18">
        <v>6498.21</v>
      </c>
      <c r="H568" s="18">
        <v>3951.11</v>
      </c>
      <c r="I568" s="18">
        <v>3336.13</v>
      </c>
      <c r="J568" s="18"/>
      <c r="K568" s="18">
        <v>255.68</v>
      </c>
      <c r="L568" s="88">
        <f>SUM(F568:K568)</f>
        <v>31474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54477.72</v>
      </c>
      <c r="G569" s="193">
        <f t="shared" ref="G569:L569" si="45">SUM(G566:G568)</f>
        <v>20306.900000000001</v>
      </c>
      <c r="H569" s="193">
        <f t="shared" si="45"/>
        <v>5334.73</v>
      </c>
      <c r="I569" s="193">
        <f t="shared" si="45"/>
        <v>10425.419999999998</v>
      </c>
      <c r="J569" s="193">
        <f t="shared" si="45"/>
        <v>0</v>
      </c>
      <c r="K569" s="193">
        <f t="shared" si="45"/>
        <v>799</v>
      </c>
      <c r="L569" s="193">
        <f t="shared" si="45"/>
        <v>91343.76999999999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64897.71</v>
      </c>
      <c r="G570" s="89">
        <f t="shared" ref="G570:L570" si="46">G559+G564+G569</f>
        <v>21104.050000000003</v>
      </c>
      <c r="H570" s="89">
        <f t="shared" si="46"/>
        <v>6593.8799999999992</v>
      </c>
      <c r="I570" s="89">
        <f t="shared" si="46"/>
        <v>10425.419999999998</v>
      </c>
      <c r="J570" s="89">
        <f t="shared" si="46"/>
        <v>0</v>
      </c>
      <c r="K570" s="89">
        <f t="shared" si="46"/>
        <v>799</v>
      </c>
      <c r="L570" s="89">
        <f t="shared" si="46"/>
        <v>103820.05999999998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>
        <f>3300+5775</f>
        <v>9075</v>
      </c>
      <c r="I577" s="87">
        <f t="shared" si="47"/>
        <v>9075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64516</v>
      </c>
      <c r="G578" s="18"/>
      <c r="H578" s="18"/>
      <c r="I578" s="87">
        <f t="shared" si="47"/>
        <v>64516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23287.439999999999</v>
      </c>
      <c r="G579" s="18">
        <v>69244.59</v>
      </c>
      <c r="H579" s="18">
        <v>94154.36</v>
      </c>
      <c r="I579" s="87">
        <f t="shared" si="47"/>
        <v>186686.39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163133.21</v>
      </c>
      <c r="G581" s="18">
        <v>130495.46</v>
      </c>
      <c r="H581" s="18">
        <v>68691.33</v>
      </c>
      <c r="I581" s="87">
        <f t="shared" si="47"/>
        <v>362320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183917.17</v>
      </c>
      <c r="G582" s="18"/>
      <c r="H582" s="18">
        <v>39651.33</v>
      </c>
      <c r="I582" s="87">
        <f t="shared" si="47"/>
        <v>223568.5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70930.8</v>
      </c>
      <c r="I583" s="87">
        <f t="shared" si="47"/>
        <v>70930.8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334970.26</v>
      </c>
      <c r="I590" s="18">
        <v>182711.04000000001</v>
      </c>
      <c r="J590" s="18">
        <v>243614.74</v>
      </c>
      <c r="K590" s="104">
        <f t="shared" ref="K590:K596" si="48">SUM(H590:J590)</f>
        <v>761296.04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150393.59+767.73</f>
        <v>151161.32</v>
      </c>
      <c r="I591" s="18">
        <f>115973.91+1240.71</f>
        <v>117214.62000000001</v>
      </c>
      <c r="J591" s="18">
        <f>116567.08+643.11</f>
        <v>117210.19</v>
      </c>
      <c r="K591" s="104">
        <f t="shared" si="48"/>
        <v>385586.13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109380.8</v>
      </c>
      <c r="K592" s="104">
        <f t="shared" si="48"/>
        <v>109380.8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4941.5200000000004</v>
      </c>
      <c r="J593" s="18">
        <v>38990.61</v>
      </c>
      <c r="K593" s="104">
        <f t="shared" si="48"/>
        <v>43932.130000000005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7036.43+4055.11</f>
        <v>11091.54</v>
      </c>
      <c r="I594" s="18">
        <v>7776.32</v>
      </c>
      <c r="J594" s="18">
        <v>6265.95</v>
      </c>
      <c r="K594" s="104">
        <f t="shared" si="48"/>
        <v>25133.81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497223.12</v>
      </c>
      <c r="I597" s="108">
        <f>SUM(I590:I596)</f>
        <v>312643.50000000006</v>
      </c>
      <c r="J597" s="108">
        <f>SUM(J590:J596)</f>
        <v>515462.29</v>
      </c>
      <c r="K597" s="108">
        <f>SUM(K590:K596)</f>
        <v>1325328.9100000001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139550.13</v>
      </c>
      <c r="I603" s="18">
        <v>88864.48</v>
      </c>
      <c r="J603" s="18">
        <v>113030.48</v>
      </c>
      <c r="K603" s="104">
        <f>SUM(H603:J603)</f>
        <v>341445.08999999997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139550.13</v>
      </c>
      <c r="I604" s="108">
        <f>SUM(I601:I603)</f>
        <v>88864.48</v>
      </c>
      <c r="J604" s="108">
        <f>SUM(J601:J603)</f>
        <v>113030.48</v>
      </c>
      <c r="K604" s="108">
        <f>SUM(K601:K603)</f>
        <v>341445.08999999997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78878.080000000002</v>
      </c>
      <c r="G610" s="18">
        <v>16597.96</v>
      </c>
      <c r="H610" s="18"/>
      <c r="I610" s="18">
        <v>491.06</v>
      </c>
      <c r="J610" s="18"/>
      <c r="K610" s="18"/>
      <c r="L610" s="88">
        <f>SUM(F610:K610)</f>
        <v>95967.1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24491.83</v>
      </c>
      <c r="G611" s="18">
        <v>4443.37</v>
      </c>
      <c r="H611" s="18"/>
      <c r="I611" s="18">
        <v>1405.82</v>
      </c>
      <c r="J611" s="18"/>
      <c r="K611" s="18"/>
      <c r="L611" s="88">
        <f>SUM(F611:K611)</f>
        <v>30341.02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3789.09</v>
      </c>
      <c r="G612" s="18">
        <v>518.89</v>
      </c>
      <c r="H612" s="18"/>
      <c r="I612" s="18"/>
      <c r="J612" s="18"/>
      <c r="K612" s="18"/>
      <c r="L612" s="88">
        <f>SUM(F612:K612)</f>
        <v>4307.9800000000005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107159</v>
      </c>
      <c r="G613" s="108">
        <f t="shared" si="49"/>
        <v>21560.219999999998</v>
      </c>
      <c r="H613" s="108">
        <f t="shared" si="49"/>
        <v>0</v>
      </c>
      <c r="I613" s="108">
        <f t="shared" si="49"/>
        <v>1896.8799999999999</v>
      </c>
      <c r="J613" s="108">
        <f t="shared" si="49"/>
        <v>0</v>
      </c>
      <c r="K613" s="108">
        <f t="shared" si="49"/>
        <v>0</v>
      </c>
      <c r="L613" s="89">
        <f t="shared" si="49"/>
        <v>130616.1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1412962.44</v>
      </c>
      <c r="H616" s="109">
        <f>SUM(F51)</f>
        <v>1412962.4400000002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56463.829999999994</v>
      </c>
      <c r="H617" s="109">
        <f>SUM(G51)</f>
        <v>56463.83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329785.88</v>
      </c>
      <c r="H618" s="109">
        <f>SUM(H51)</f>
        <v>329785.88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2344203.2599999998</v>
      </c>
      <c r="H620" s="109">
        <f>SUM(J51)</f>
        <v>2344203.2599999998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1191348.3500000001</v>
      </c>
      <c r="H621" s="109">
        <f>F475</f>
        <v>1191348.3500000015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147.19</v>
      </c>
      <c r="H622" s="109">
        <f>G475</f>
        <v>147.18999999994412</v>
      </c>
      <c r="I622" s="121" t="s">
        <v>102</v>
      </c>
      <c r="J622" s="109">
        <f t="shared" si="50"/>
        <v>5.5877080740174279E-11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2344203.2599999998</v>
      </c>
      <c r="H625" s="109">
        <f>J475</f>
        <v>2344203.2599999998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22169600.619999997</v>
      </c>
      <c r="H626" s="104">
        <f>SUM(F467)</f>
        <v>22169600.620000001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593218.42000000004</v>
      </c>
      <c r="H627" s="104">
        <f>SUM(G467)</f>
        <v>593218.42000000004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1197420.25</v>
      </c>
      <c r="H628" s="104">
        <f>SUM(H467)</f>
        <v>1197420.25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439968.69</v>
      </c>
      <c r="H630" s="104">
        <f>SUM(J467)</f>
        <v>439968.69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22284485.860000003</v>
      </c>
      <c r="H631" s="104">
        <f>SUM(F471)</f>
        <v>22284485.859999999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1197420.25</v>
      </c>
      <c r="H632" s="104">
        <f>SUM(H471)</f>
        <v>1197420.25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14555.35</v>
      </c>
      <c r="H633" s="104">
        <f>I368</f>
        <v>14555.349999999999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593564.55000000005</v>
      </c>
      <c r="H634" s="104">
        <f>SUM(G471)</f>
        <v>593564.55000000005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439968.69</v>
      </c>
      <c r="H636" s="164">
        <f>SUM(J467)</f>
        <v>439968.69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556949.12</v>
      </c>
      <c r="H637" s="164">
        <f>SUM(J471)</f>
        <v>556949.12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341906.34</v>
      </c>
      <c r="H638" s="104">
        <f>SUM(F460)</f>
        <v>341906.34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1189072.96</v>
      </c>
      <c r="H639" s="104">
        <f>SUM(G460)</f>
        <v>1189072.96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813223.96</v>
      </c>
      <c r="H640" s="104">
        <f>SUM(H460)</f>
        <v>813223.96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2344203.2599999998</v>
      </c>
      <c r="H641" s="104">
        <f>SUM(I460)</f>
        <v>2344203.2600000002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89968.69</v>
      </c>
      <c r="H643" s="104">
        <f>H407</f>
        <v>89968.69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350000</v>
      </c>
      <c r="H644" s="104">
        <f>G407</f>
        <v>350000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439968.69</v>
      </c>
      <c r="H645" s="104">
        <f>L407</f>
        <v>439968.69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1325328.9100000001</v>
      </c>
      <c r="H646" s="104">
        <f>L207+L225+L243</f>
        <v>1325328.9100000001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341445.08999999997</v>
      </c>
      <c r="H647" s="104">
        <f>(J256+J337)-(J254+J335)</f>
        <v>341445.09000000008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497223.12</v>
      </c>
      <c r="H648" s="104">
        <f>H597</f>
        <v>497223.12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312643.5</v>
      </c>
      <c r="H649" s="104">
        <f>I597</f>
        <v>312643.50000000006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515462.29000000004</v>
      </c>
      <c r="H650" s="104">
        <f>J597</f>
        <v>515462.29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40000</v>
      </c>
      <c r="H651" s="104">
        <f>K262+K344</f>
        <v>40000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350000</v>
      </c>
      <c r="H654" s="104">
        <f>K265+K346</f>
        <v>350000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10068675.67</v>
      </c>
      <c r="G659" s="19">
        <f>(L228+L308+L358)</f>
        <v>5346774.53</v>
      </c>
      <c r="H659" s="19">
        <f>(L246+L327+L359)</f>
        <v>7022295.0600000005</v>
      </c>
      <c r="I659" s="19">
        <f>SUM(F659:H659)</f>
        <v>22437745.259999998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128615.80348931417</v>
      </c>
      <c r="G660" s="19">
        <f>(L358/IF(SUM(L357:L359)=0,1,SUM(L357:L359))*(SUM(G96:G109)))</f>
        <v>66230.562043207596</v>
      </c>
      <c r="H660" s="19">
        <f>(L359/IF(SUM(L357:L359)=0,1,SUM(L357:L359))*(SUM(G96:G109)))</f>
        <v>88307.414467478229</v>
      </c>
      <c r="I660" s="19">
        <f>SUM(F660:H660)</f>
        <v>283153.78000000003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497366.12</v>
      </c>
      <c r="G661" s="19">
        <f>(L225+L305)-(J225+J305)</f>
        <v>312720.5</v>
      </c>
      <c r="H661" s="19">
        <f>(L243+L324)-(J243+J324)</f>
        <v>515462.29000000004</v>
      </c>
      <c r="I661" s="19">
        <f>SUM(F661:H661)</f>
        <v>1325548.9100000001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670371.04999999993</v>
      </c>
      <c r="G662" s="199">
        <f>SUM(G574:G586)+SUM(I601:I603)+L611</f>
        <v>318945.55</v>
      </c>
      <c r="H662" s="199">
        <f>SUM(H574:H586)+SUM(J601:J603)+L612</f>
        <v>399841.27999999997</v>
      </c>
      <c r="I662" s="19">
        <f>SUM(F662:H662)</f>
        <v>1389157.88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8772322.6965106856</v>
      </c>
      <c r="G663" s="19">
        <f>G659-SUM(G660:G662)</f>
        <v>4648877.9179567927</v>
      </c>
      <c r="H663" s="19">
        <f>H659-SUM(H660:H662)</f>
        <v>6018684.0755325221</v>
      </c>
      <c r="I663" s="19">
        <f>I659-SUM(I660:I662)</f>
        <v>19439884.689999998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693.51</v>
      </c>
      <c r="G664" s="248">
        <v>362.25</v>
      </c>
      <c r="H664" s="248">
        <v>468.27</v>
      </c>
      <c r="I664" s="19">
        <f>SUM(F664:H664)</f>
        <v>1524.03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12649.17</v>
      </c>
      <c r="G666" s="19">
        <f>ROUND(G663/G664,2)</f>
        <v>12833.34</v>
      </c>
      <c r="H666" s="19">
        <f>ROUND(H663/H664,2)</f>
        <v>12853.02</v>
      </c>
      <c r="I666" s="19">
        <f>ROUND(I663/I664,2)</f>
        <v>12755.58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-6.92</v>
      </c>
      <c r="I669" s="19">
        <f>SUM(F669:H669)</f>
        <v>-6.92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12649.17</v>
      </c>
      <c r="G671" s="19">
        <f>ROUND((G663+G668)/(G664+G669),2)</f>
        <v>12833.34</v>
      </c>
      <c r="H671" s="19">
        <f>ROUND((H663+H668)/(H664+H669),2)</f>
        <v>13045.81</v>
      </c>
      <c r="I671" s="19">
        <f>ROUND((I663+I668)/(I664+I669),2)</f>
        <v>12813.76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9"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Jaffrey-Rindge Cooperative School District (SAU47)</v>
      </c>
      <c r="C1" s="238" t="s">
        <v>839</v>
      </c>
    </row>
    <row r="2" spans="1:3" x14ac:dyDescent="0.2">
      <c r="A2" s="233"/>
      <c r="B2" s="232"/>
    </row>
    <row r="3" spans="1:3" x14ac:dyDescent="0.2">
      <c r="A3" s="276" t="s">
        <v>784</v>
      </c>
      <c r="B3" s="276"/>
      <c r="C3" s="276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783</v>
      </c>
      <c r="C6" s="275"/>
    </row>
    <row r="7" spans="1:3" x14ac:dyDescent="0.2">
      <c r="A7" s="239" t="s">
        <v>786</v>
      </c>
      <c r="B7" s="273" t="s">
        <v>782</v>
      </c>
      <c r="C7" s="274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5133804.3999999994</v>
      </c>
      <c r="C9" s="229">
        <f>'DOE25'!G196+'DOE25'!G214+'DOE25'!G232+'DOE25'!G275+'DOE25'!G294+'DOE25'!G313</f>
        <v>2040952.9600000004</v>
      </c>
    </row>
    <row r="10" spans="1:3" x14ac:dyDescent="0.2">
      <c r="A10" t="s">
        <v>779</v>
      </c>
      <c r="B10" s="240">
        <v>5017288.47</v>
      </c>
      <c r="C10" s="240">
        <v>2031567.61</v>
      </c>
    </row>
    <row r="11" spans="1:3" x14ac:dyDescent="0.2">
      <c r="A11" t="s">
        <v>780</v>
      </c>
      <c r="B11" s="240">
        <v>0</v>
      </c>
      <c r="C11" s="240">
        <v>0</v>
      </c>
    </row>
    <row r="12" spans="1:3" x14ac:dyDescent="0.2">
      <c r="A12" t="s">
        <v>781</v>
      </c>
      <c r="B12" s="240">
        <v>116515.93</v>
      </c>
      <c r="C12" s="240">
        <v>9385.35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5133804.3999999994</v>
      </c>
      <c r="C13" s="231">
        <f>SUM(C10:C12)</f>
        <v>2040952.9600000002</v>
      </c>
    </row>
    <row r="14" spans="1:3" x14ac:dyDescent="0.2">
      <c r="B14" s="230"/>
      <c r="C14" s="230"/>
    </row>
    <row r="15" spans="1:3" x14ac:dyDescent="0.2">
      <c r="B15" s="275" t="s">
        <v>783</v>
      </c>
      <c r="C15" s="275"/>
    </row>
    <row r="16" spans="1:3" x14ac:dyDescent="0.2">
      <c r="A16" s="239" t="s">
        <v>787</v>
      </c>
      <c r="B16" s="273" t="s">
        <v>707</v>
      </c>
      <c r="C16" s="274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2745655.12</v>
      </c>
      <c r="C18" s="229">
        <f>'DOE25'!G197+'DOE25'!G215+'DOE25'!G233+'DOE25'!G276+'DOE25'!G295+'DOE25'!G314</f>
        <v>1173229.9100000001</v>
      </c>
    </row>
    <row r="19" spans="1:3" x14ac:dyDescent="0.2">
      <c r="A19" t="s">
        <v>779</v>
      </c>
      <c r="B19" s="240">
        <v>1654380</v>
      </c>
      <c r="C19" s="240">
        <v>722110.82</v>
      </c>
    </row>
    <row r="20" spans="1:3" x14ac:dyDescent="0.2">
      <c r="A20" t="s">
        <v>780</v>
      </c>
      <c r="B20" s="240">
        <v>752081.12</v>
      </c>
      <c r="C20" s="240">
        <v>383187.78</v>
      </c>
    </row>
    <row r="21" spans="1:3" x14ac:dyDescent="0.2">
      <c r="A21" t="s">
        <v>781</v>
      </c>
      <c r="B21" s="240">
        <f>237487.68+101706.32</f>
        <v>339194</v>
      </c>
      <c r="C21" s="240">
        <f>60150.78+7780.53</f>
        <v>67931.31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2745655.12</v>
      </c>
      <c r="C22" s="231">
        <f>SUM(C19:C21)</f>
        <v>1173229.9100000001</v>
      </c>
    </row>
    <row r="23" spans="1:3" x14ac:dyDescent="0.2">
      <c r="B23" s="230"/>
      <c r="C23" s="230"/>
    </row>
    <row r="24" spans="1:3" x14ac:dyDescent="0.2">
      <c r="B24" s="275" t="s">
        <v>783</v>
      </c>
      <c r="C24" s="275"/>
    </row>
    <row r="25" spans="1:3" x14ac:dyDescent="0.2">
      <c r="A25" s="239" t="s">
        <v>788</v>
      </c>
      <c r="B25" s="273" t="s">
        <v>708</v>
      </c>
      <c r="C25" s="274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255820.66</v>
      </c>
      <c r="C27" s="234">
        <f>'DOE25'!G198+'DOE25'!G216+'DOE25'!G234+'DOE25'!G277+'DOE25'!G296+'DOE25'!G315</f>
        <v>77832.820000000007</v>
      </c>
    </row>
    <row r="28" spans="1:3" x14ac:dyDescent="0.2">
      <c r="A28" t="s">
        <v>779</v>
      </c>
      <c r="B28" s="240">
        <v>255820.66</v>
      </c>
      <c r="C28" s="240">
        <v>77832.820000000007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255820.66</v>
      </c>
      <c r="C31" s="231">
        <f>SUM(C28:C30)</f>
        <v>77832.820000000007</v>
      </c>
    </row>
    <row r="33" spans="1:3" x14ac:dyDescent="0.2">
      <c r="B33" s="275" t="s">
        <v>783</v>
      </c>
      <c r="C33" s="275"/>
    </row>
    <row r="34" spans="1:3" x14ac:dyDescent="0.2">
      <c r="A34" s="239" t="s">
        <v>789</v>
      </c>
      <c r="B34" s="273" t="s">
        <v>709</v>
      </c>
      <c r="C34" s="274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391295.47</v>
      </c>
      <c r="C36" s="235">
        <f>'DOE25'!G199+'DOE25'!G217+'DOE25'!G235+'DOE25'!G278+'DOE25'!G297+'DOE25'!G316</f>
        <v>69406.680000000008</v>
      </c>
    </row>
    <row r="37" spans="1:3" x14ac:dyDescent="0.2">
      <c r="A37" t="s">
        <v>779</v>
      </c>
      <c r="B37" s="240">
        <v>147696.54</v>
      </c>
      <c r="C37" s="240">
        <v>26317.42</v>
      </c>
    </row>
    <row r="38" spans="1:3" x14ac:dyDescent="0.2">
      <c r="A38" t="s">
        <v>780</v>
      </c>
      <c r="B38" s="240">
        <v>45557.77</v>
      </c>
      <c r="C38" s="240">
        <f>7495.78</f>
        <v>7495.78</v>
      </c>
    </row>
    <row r="39" spans="1:3" x14ac:dyDescent="0.2">
      <c r="A39" t="s">
        <v>781</v>
      </c>
      <c r="B39" s="240">
        <f>97421+100620.16</f>
        <v>198041.16</v>
      </c>
      <c r="C39" s="240">
        <f>27626.04+7967.44</f>
        <v>35593.480000000003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391295.47</v>
      </c>
      <c r="C40" s="231">
        <f>SUM(C37:C39)</f>
        <v>69406.679999999993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 xml:space="preserve">&amp;C&amp;A
FY2012-2013
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5" t="str">
        <f>'DOE25'!A2</f>
        <v>Jaffrey-Rindge Cooperative School District (SAU47)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12664713.6</v>
      </c>
      <c r="D5" s="20">
        <f>SUM('DOE25'!L196:L199)+SUM('DOE25'!L214:L217)+SUM('DOE25'!L232:L235)-F5-G5</f>
        <v>12592747.969999999</v>
      </c>
      <c r="E5" s="243"/>
      <c r="F5" s="255">
        <f>SUM('DOE25'!J196:J199)+SUM('DOE25'!J214:J217)+SUM('DOE25'!J232:J235)</f>
        <v>29005.38</v>
      </c>
      <c r="G5" s="53">
        <f>SUM('DOE25'!K196:K199)+SUM('DOE25'!K214:K217)+SUM('DOE25'!K232:K235)</f>
        <v>42960.25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1389926.34</v>
      </c>
      <c r="D6" s="20">
        <f>'DOE25'!L201+'DOE25'!L219+'DOE25'!L237-F6-G6</f>
        <v>1387435.59</v>
      </c>
      <c r="E6" s="243"/>
      <c r="F6" s="255">
        <f>'DOE25'!J201+'DOE25'!J219+'DOE25'!J237</f>
        <v>2360.75</v>
      </c>
      <c r="G6" s="53">
        <f>'DOE25'!K201+'DOE25'!K219+'DOE25'!K237</f>
        <v>130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608035.89</v>
      </c>
      <c r="D7" s="20">
        <f>'DOE25'!L202+'DOE25'!L220+'DOE25'!L238-F7-G7</f>
        <v>599891.09</v>
      </c>
      <c r="E7" s="243"/>
      <c r="F7" s="255">
        <f>'DOE25'!J202+'DOE25'!J220+'DOE25'!J238</f>
        <v>2974.8</v>
      </c>
      <c r="G7" s="53">
        <f>'DOE25'!K202+'DOE25'!K220+'DOE25'!K238</f>
        <v>5170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4379.74999999996</v>
      </c>
      <c r="D8" s="243"/>
      <c r="E8" s="20">
        <f>'DOE25'!L203+'DOE25'!L221+'DOE25'!L239-F8-G8-D9-D11</f>
        <v>-5199.4500000000407</v>
      </c>
      <c r="F8" s="255">
        <f>'DOE25'!J203+'DOE25'!J221+'DOE25'!J239</f>
        <v>0</v>
      </c>
      <c r="G8" s="53">
        <f>'DOE25'!K203+'DOE25'!K221+'DOE25'!K239</f>
        <v>9579.2000000000007</v>
      </c>
      <c r="H8" s="259"/>
    </row>
    <row r="9" spans="1:9" x14ac:dyDescent="0.2">
      <c r="A9" s="32">
        <v>2310</v>
      </c>
      <c r="B9" t="s">
        <v>818</v>
      </c>
      <c r="C9" s="245">
        <f t="shared" si="0"/>
        <v>72927.16</v>
      </c>
      <c r="D9" s="244">
        <v>72927.16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25500</v>
      </c>
      <c r="D10" s="243"/>
      <c r="E10" s="244">
        <v>25500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217683.20000000001</v>
      </c>
      <c r="D11" s="244">
        <v>217683.20000000001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1168996.02</v>
      </c>
      <c r="D12" s="20">
        <f>'DOE25'!L204+'DOE25'!L222+'DOE25'!L240-F12-G12</f>
        <v>1158100.53</v>
      </c>
      <c r="E12" s="243"/>
      <c r="F12" s="255">
        <f>'DOE25'!J204+'DOE25'!J222+'DOE25'!J240</f>
        <v>1217.49</v>
      </c>
      <c r="G12" s="53">
        <f>'DOE25'!K204+'DOE25'!K222+'DOE25'!K240</f>
        <v>9678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423394.27</v>
      </c>
      <c r="D13" s="243"/>
      <c r="E13" s="20">
        <f>'DOE25'!L205+'DOE25'!L223+'DOE25'!L241-F13-G13</f>
        <v>417474.8</v>
      </c>
      <c r="F13" s="255">
        <f>'DOE25'!J205+'DOE25'!J223+'DOE25'!J241</f>
        <v>1378.1999999999998</v>
      </c>
      <c r="G13" s="53">
        <f>'DOE25'!K205+'DOE25'!K223+'DOE25'!K241</f>
        <v>4541.2700000000004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2052356.63</v>
      </c>
      <c r="D14" s="20">
        <f>'DOE25'!L206+'DOE25'!L224+'DOE25'!L242-F14-G14</f>
        <v>1979669.5699999998</v>
      </c>
      <c r="E14" s="243"/>
      <c r="F14" s="255">
        <f>'DOE25'!J206+'DOE25'!J224+'DOE25'!J242</f>
        <v>72307.06</v>
      </c>
      <c r="G14" s="53">
        <f>'DOE25'!K206+'DOE25'!K224+'DOE25'!K242</f>
        <v>380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1325328.9100000001</v>
      </c>
      <c r="D15" s="20">
        <f>'DOE25'!L207+'DOE25'!L225+'DOE25'!L243-F15-G15</f>
        <v>1325328.9100000001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753558.74</v>
      </c>
      <c r="D16" s="243"/>
      <c r="E16" s="20">
        <f>'DOE25'!L208+'DOE25'!L226+'DOE25'!L244-F16-G16</f>
        <v>524013.41</v>
      </c>
      <c r="F16" s="255">
        <f>'DOE25'!J208+'DOE25'!J226+'DOE25'!J244</f>
        <v>229545.33000000002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1637.2</v>
      </c>
      <c r="D17" s="20">
        <f>'DOE25'!L250-F17-G17</f>
        <v>1637.2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110613.15</v>
      </c>
      <c r="D22" s="243"/>
      <c r="E22" s="243"/>
      <c r="F22" s="255">
        <f>'DOE25'!L254+'DOE25'!L335</f>
        <v>110613.15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1100935</v>
      </c>
      <c r="D25" s="243"/>
      <c r="E25" s="243"/>
      <c r="F25" s="258"/>
      <c r="G25" s="256"/>
      <c r="H25" s="257">
        <f>'DOE25'!L259+'DOE25'!L260+'DOE25'!L340+'DOE25'!L341</f>
        <v>1100935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593564.55000000005</v>
      </c>
      <c r="D29" s="20">
        <f>'DOE25'!L357+'DOE25'!L358+'DOE25'!L359-'DOE25'!I366-F29-G29</f>
        <v>592946.55000000005</v>
      </c>
      <c r="E29" s="243"/>
      <c r="F29" s="255">
        <f>'DOE25'!J357+'DOE25'!J358+'DOE25'!J359</f>
        <v>0</v>
      </c>
      <c r="G29" s="53">
        <f>'DOE25'!K357+'DOE25'!K358+'DOE25'!K359</f>
        <v>618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1170867.2000000002</v>
      </c>
      <c r="D31" s="20">
        <f>'DOE25'!L289+'DOE25'!L308+'DOE25'!L327+'DOE25'!L332+'DOE25'!L333+'DOE25'!L334-F31-G31</f>
        <v>1168111.1200000001</v>
      </c>
      <c r="E31" s="243"/>
      <c r="F31" s="255">
        <f>'DOE25'!J289+'DOE25'!J308+'DOE25'!J327+'DOE25'!J332+'DOE25'!J333+'DOE25'!J334</f>
        <v>2656.08</v>
      </c>
      <c r="G31" s="53">
        <f>'DOE25'!K289+'DOE25'!K308+'DOE25'!K327+'DOE25'!K332+'DOE25'!K333+'DOE25'!K334</f>
        <v>100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21096478.889999997</v>
      </c>
      <c r="E33" s="246">
        <f>SUM(E5:E31)</f>
        <v>961788.76</v>
      </c>
      <c r="F33" s="246">
        <f>SUM(F5:F31)</f>
        <v>452058.24000000005</v>
      </c>
      <c r="G33" s="246">
        <f>SUM(G5:G31)</f>
        <v>73156.72</v>
      </c>
      <c r="H33" s="246">
        <f>SUM(H5:H31)</f>
        <v>1100935</v>
      </c>
    </row>
    <row r="35" spans="2:8" ht="12" thickBot="1" x14ac:dyDescent="0.25">
      <c r="B35" s="253" t="s">
        <v>847</v>
      </c>
      <c r="D35" s="254">
        <f>E33</f>
        <v>961788.76</v>
      </c>
      <c r="E35" s="249"/>
    </row>
    <row r="36" spans="2:8" ht="12" thickTop="1" x14ac:dyDescent="0.2">
      <c r="B36" t="s">
        <v>815</v>
      </c>
      <c r="D36" s="20">
        <f>D33</f>
        <v>21096478.889999997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C48" sqref="C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Jaffrey-Rindge Cooperative School District (SAU47)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995223.69</v>
      </c>
      <c r="D8" s="95">
        <f>'DOE25'!G9</f>
        <v>1875.81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2344203.2599999998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337227.29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52504.959999999999</v>
      </c>
      <c r="D12" s="95">
        <f>'DOE25'!G13</f>
        <v>54588.02</v>
      </c>
      <c r="E12" s="95">
        <f>'DOE25'!H13</f>
        <v>329785.88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470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27536.5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1412962.44</v>
      </c>
      <c r="D18" s="41">
        <f>SUM(D8:D17)</f>
        <v>56463.829999999994</v>
      </c>
      <c r="E18" s="41">
        <f>SUM(E8:E17)</f>
        <v>329785.88</v>
      </c>
      <c r="F18" s="41">
        <f>SUM(F8:F17)</f>
        <v>0</v>
      </c>
      <c r="G18" s="41">
        <f>SUM(G8:G17)</f>
        <v>2344203.2599999998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7441.41</v>
      </c>
      <c r="E21" s="95">
        <f>'DOE25'!H22</f>
        <v>329785.88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 t="str">
        <f>'DOE25'!G23</f>
        <v>.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150133.20000000001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36874.39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41575.760000000002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29905.13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12000.84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221614.09000000003</v>
      </c>
      <c r="D31" s="41">
        <f>SUM(D21:D30)</f>
        <v>56316.639999999999</v>
      </c>
      <c r="E31" s="41">
        <f>SUM(E21:E30)</f>
        <v>329785.88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27536.5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774315.22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38908.74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147.19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1530979.3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382212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47638.22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225332.66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508628.97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1191348.3500000001</v>
      </c>
      <c r="D49" s="41">
        <f>SUM(D34:D48)</f>
        <v>147.19</v>
      </c>
      <c r="E49" s="41">
        <f>SUM(E34:E48)</f>
        <v>0</v>
      </c>
      <c r="F49" s="41">
        <f>SUM(F34:F48)</f>
        <v>0</v>
      </c>
      <c r="G49" s="41">
        <f>SUM(G34:G48)</f>
        <v>2344203.2599999998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1412962.4400000002</v>
      </c>
      <c r="D50" s="41">
        <f>D49+D31</f>
        <v>56463.83</v>
      </c>
      <c r="E50" s="41">
        <f>E49+E31</f>
        <v>329785.88</v>
      </c>
      <c r="F50" s="41">
        <f>F49+F31</f>
        <v>0</v>
      </c>
      <c r="G50" s="41">
        <f>G49+G31</f>
        <v>2344203.2599999998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13535176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21995.34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89968.69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283153.78000000003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36992.449999999997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58987.789999999994</v>
      </c>
      <c r="D61" s="130">
        <f>SUM(D56:D60)</f>
        <v>283153.78000000003</v>
      </c>
      <c r="E61" s="130">
        <f>SUM(E56:E60)</f>
        <v>0</v>
      </c>
      <c r="F61" s="130">
        <f>SUM(F56:F60)</f>
        <v>0</v>
      </c>
      <c r="G61" s="130">
        <f>SUM(G56:G60)</f>
        <v>89968.69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13594163.789999999</v>
      </c>
      <c r="D62" s="22">
        <f>D55+D61</f>
        <v>283153.78000000003</v>
      </c>
      <c r="E62" s="22">
        <f>E55+E61</f>
        <v>0</v>
      </c>
      <c r="F62" s="22">
        <f>F55+F61</f>
        <v>0</v>
      </c>
      <c r="G62" s="22">
        <f>G55+G61</f>
        <v>89968.69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5175438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2375987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7551425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373098.16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203362.8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6747.73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7277.45</v>
      </c>
      <c r="E76" s="95">
        <f>SUM('DOE25'!H130:H134)</f>
        <v>7553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583208.68999999994</v>
      </c>
      <c r="D77" s="130">
        <f>SUM(D71:D76)</f>
        <v>7277.45</v>
      </c>
      <c r="E77" s="130">
        <f>SUM(E71:E76)</f>
        <v>7553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8134633.6899999995</v>
      </c>
      <c r="D80" s="130">
        <f>SUM(D78:D79)+D77+D69</f>
        <v>7277.45</v>
      </c>
      <c r="E80" s="130">
        <f>SUM(E78:E79)+E77+E69</f>
        <v>7553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191171.48</v>
      </c>
      <c r="D87" s="95">
        <f>SUM('DOE25'!G152:G160)</f>
        <v>262787.19</v>
      </c>
      <c r="E87" s="95">
        <f>SUM('DOE25'!H152:H160)</f>
        <v>1189867.25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191171.48</v>
      </c>
      <c r="D90" s="131">
        <f>SUM(D84:D89)</f>
        <v>262787.19</v>
      </c>
      <c r="E90" s="131">
        <f>SUM(E84:E89)</f>
        <v>1189867.25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40000</v>
      </c>
      <c r="E95" s="95">
        <f>'DOE25'!H178</f>
        <v>0</v>
      </c>
      <c r="F95" s="95">
        <f>'DOE25'!I178</f>
        <v>0</v>
      </c>
      <c r="G95" s="95">
        <f>'DOE25'!J178</f>
        <v>350000</v>
      </c>
    </row>
    <row r="96" spans="1:9" x14ac:dyDescent="0.2">
      <c r="A96" t="s">
        <v>758</v>
      </c>
      <c r="B96" s="32" t="s">
        <v>188</v>
      </c>
      <c r="C96" s="95">
        <f>SUM('DOE25'!F179:F180)</f>
        <v>17822.630000000005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231809.03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249631.66</v>
      </c>
      <c r="D102" s="86">
        <f>SUM(D92:D101)</f>
        <v>40000</v>
      </c>
      <c r="E102" s="86">
        <f>SUM(E92:E101)</f>
        <v>0</v>
      </c>
      <c r="F102" s="86">
        <f>SUM(F92:F101)</f>
        <v>0</v>
      </c>
      <c r="G102" s="86">
        <f>SUM(G92:G101)</f>
        <v>350000</v>
      </c>
    </row>
    <row r="103" spans="1:7" ht="12.75" thickTop="1" thickBot="1" x14ac:dyDescent="0.25">
      <c r="A103" s="33" t="s">
        <v>765</v>
      </c>
      <c r="C103" s="86">
        <f>C62+C80+C90+C102</f>
        <v>22169600.619999997</v>
      </c>
      <c r="D103" s="86">
        <f>D62+D80+D90+D102</f>
        <v>593218.42000000004</v>
      </c>
      <c r="E103" s="86">
        <f>E62+E80+E90+E102</f>
        <v>1197420.25</v>
      </c>
      <c r="F103" s="86">
        <f>F62+F80+F90+F102</f>
        <v>0</v>
      </c>
      <c r="G103" s="86">
        <f>G62+G80+G102</f>
        <v>439968.69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7112299.7100000009</v>
      </c>
      <c r="D108" s="24" t="s">
        <v>289</v>
      </c>
      <c r="E108" s="95">
        <f>('DOE25'!L275)+('DOE25'!L294)+('DOE25'!L313)</f>
        <v>351228.18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4766417.96</v>
      </c>
      <c r="D109" s="24" t="s">
        <v>289</v>
      </c>
      <c r="E109" s="95">
        <f>('DOE25'!L276)+('DOE25'!L295)+('DOE25'!L314)</f>
        <v>176496.31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450679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335316.93</v>
      </c>
      <c r="D111" s="24" t="s">
        <v>289</v>
      </c>
      <c r="E111" s="95">
        <f>+('DOE25'!L278)+('DOE25'!L297)+('DOE25'!L316)</f>
        <v>291715.33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8730.42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1637.2</v>
      </c>
      <c r="D113" s="24" t="s">
        <v>289</v>
      </c>
      <c r="E113" s="95">
        <f>+ SUM('DOE25'!L332:L334)</f>
        <v>7987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12666350.800000001</v>
      </c>
      <c r="D114" s="86">
        <f>SUM(D108:D113)</f>
        <v>0</v>
      </c>
      <c r="E114" s="86">
        <f>SUM(E108:E113)</f>
        <v>836157.24000000011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1389926.34</v>
      </c>
      <c r="D117" s="24" t="s">
        <v>289</v>
      </c>
      <c r="E117" s="95">
        <f>+('DOE25'!L280)+('DOE25'!L299)+('DOE25'!L318)</f>
        <v>149318.17000000001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608035.89</v>
      </c>
      <c r="D118" s="24" t="s">
        <v>289</v>
      </c>
      <c r="E118" s="95">
        <f>+('DOE25'!L281)+('DOE25'!L300)+('DOE25'!L319)</f>
        <v>193902.21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294990.11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1168996.02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423394.27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2052356.63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1325328.9100000001</v>
      </c>
      <c r="D123" s="24" t="s">
        <v>289</v>
      </c>
      <c r="E123" s="95">
        <f>+('DOE25'!L286)+('DOE25'!L305)+('DOE25'!L324)</f>
        <v>220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753558.74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593564.55000000005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8016586.9100000001</v>
      </c>
      <c r="D127" s="86">
        <f>SUM(D117:D126)</f>
        <v>593564.55000000005</v>
      </c>
      <c r="E127" s="86">
        <f>SUM(E117:E126)</f>
        <v>343440.38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110613.15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805000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295935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17822.63</v>
      </c>
      <c r="F133" s="95">
        <f>'DOE25'!K380</f>
        <v>0</v>
      </c>
      <c r="G133" s="95">
        <f>'DOE25'!K433</f>
        <v>231809.03</v>
      </c>
    </row>
    <row r="134" spans="1:7" x14ac:dyDescent="0.2">
      <c r="A134" t="s">
        <v>233</v>
      </c>
      <c r="B134" s="32" t="s">
        <v>234</v>
      </c>
      <c r="C134" s="95">
        <f>'DOE25'!L262</f>
        <v>40000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1470.37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396359.14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42139.18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-89968.69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1601548.1500000001</v>
      </c>
      <c r="D143" s="141">
        <f>SUM(D129:D142)</f>
        <v>0</v>
      </c>
      <c r="E143" s="141">
        <f>SUM(E129:E142)</f>
        <v>17822.63</v>
      </c>
      <c r="F143" s="141">
        <f>SUM(F129:F142)</f>
        <v>0</v>
      </c>
      <c r="G143" s="141">
        <f>SUM(G129:G142)</f>
        <v>231809.03</v>
      </c>
    </row>
    <row r="144" spans="1:7" ht="12.75" thickTop="1" thickBot="1" x14ac:dyDescent="0.25">
      <c r="A144" s="33" t="s">
        <v>244</v>
      </c>
      <c r="C144" s="86">
        <f>(C114+C127+C143)</f>
        <v>22284485.859999999</v>
      </c>
      <c r="D144" s="86">
        <f>(D114+D127+D143)</f>
        <v>593564.55000000005</v>
      </c>
      <c r="E144" s="86">
        <f>(E114+E127+E143)</f>
        <v>1197420.25</v>
      </c>
      <c r="F144" s="86">
        <f>(F114+F127+F143)</f>
        <v>0</v>
      </c>
      <c r="G144" s="86">
        <f>(G114+G127+G143)</f>
        <v>231809.03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10</v>
      </c>
      <c r="D150" s="153">
        <f>'DOE25'!H489</f>
        <v>15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11/02</v>
      </c>
      <c r="C151" s="152" t="str">
        <f>'DOE25'!G490</f>
        <v>7/05</v>
      </c>
      <c r="D151" s="152" t="str">
        <f>'DOE25'!H490</f>
        <v>7/06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11/12</v>
      </c>
      <c r="C152" s="152" t="str">
        <f>'DOE25'!G491</f>
        <v>8/15</v>
      </c>
      <c r="D152" s="152" t="str">
        <f>'DOE25'!H491</f>
        <v>8/21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1300000</v>
      </c>
      <c r="C153" s="137">
        <f>'DOE25'!G492</f>
        <v>631625</v>
      </c>
      <c r="D153" s="137">
        <f>'DOE25'!H492</f>
        <v>9247684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3.4</v>
      </c>
      <c r="C154" s="137">
        <f>'DOE25'!G493</f>
        <v>5</v>
      </c>
      <c r="D154" s="137">
        <f>'DOE25'!H493</f>
        <v>5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130000</v>
      </c>
      <c r="C155" s="137">
        <f>'DOE25'!G494</f>
        <v>240000</v>
      </c>
      <c r="D155" s="137">
        <f>'DOE25'!H494</f>
        <v>6150000</v>
      </c>
      <c r="E155" s="137">
        <f>'DOE25'!I494</f>
        <v>0</v>
      </c>
      <c r="F155" s="137">
        <f>'DOE25'!J494</f>
        <v>0</v>
      </c>
      <c r="G155" s="138">
        <f>SUM(B155:F155)</f>
        <v>6520000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130000</v>
      </c>
      <c r="C157" s="137">
        <f>'DOE25'!G496</f>
        <v>60000</v>
      </c>
      <c r="D157" s="137">
        <f>'DOE25'!H496</f>
        <v>615000</v>
      </c>
      <c r="E157" s="137">
        <f>'DOE25'!I496</f>
        <v>0</v>
      </c>
      <c r="F157" s="137">
        <f>'DOE25'!J496</f>
        <v>0</v>
      </c>
      <c r="G157" s="138">
        <f t="shared" si="0"/>
        <v>805000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180000</v>
      </c>
      <c r="D158" s="137">
        <f>'DOE25'!H497</f>
        <v>5535000</v>
      </c>
      <c r="E158" s="137">
        <f>'DOE25'!I497</f>
        <v>0</v>
      </c>
      <c r="F158" s="137">
        <f>'DOE25'!J497</f>
        <v>0</v>
      </c>
      <c r="G158" s="138">
        <f t="shared" si="0"/>
        <v>5715000</v>
      </c>
    </row>
    <row r="159" spans="1:9" x14ac:dyDescent="0.2">
      <c r="A159" s="22" t="s">
        <v>36</v>
      </c>
      <c r="B159" s="137">
        <f>'DOE25'!F498</f>
        <v>13500</v>
      </c>
      <c r="C159" s="137">
        <f>'DOE25'!G498</f>
        <v>13500</v>
      </c>
      <c r="D159" s="137">
        <f>'DOE25'!H498</f>
        <v>1183106.26</v>
      </c>
      <c r="E159" s="137">
        <f>'DOE25'!I498</f>
        <v>0</v>
      </c>
      <c r="F159" s="137">
        <f>'DOE25'!J498</f>
        <v>0</v>
      </c>
      <c r="G159" s="138">
        <f t="shared" si="0"/>
        <v>1210106.26</v>
      </c>
    </row>
    <row r="160" spans="1:9" x14ac:dyDescent="0.2">
      <c r="A160" s="22" t="s">
        <v>37</v>
      </c>
      <c r="B160" s="137">
        <f>'DOE25'!F499</f>
        <v>13500</v>
      </c>
      <c r="C160" s="137">
        <f>'DOE25'!G499</f>
        <v>193500</v>
      </c>
      <c r="D160" s="137">
        <f>'DOE25'!H499</f>
        <v>6718106.2599999998</v>
      </c>
      <c r="E160" s="137">
        <f>'DOE25'!I499</f>
        <v>0</v>
      </c>
      <c r="F160" s="137">
        <f>'DOE25'!J499</f>
        <v>0</v>
      </c>
      <c r="G160" s="138">
        <f t="shared" si="0"/>
        <v>6925106.2599999998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60000</v>
      </c>
      <c r="D161" s="137">
        <f>'DOE25'!H500</f>
        <v>615000</v>
      </c>
      <c r="E161" s="137">
        <f>'DOE25'!I500</f>
        <v>0</v>
      </c>
      <c r="F161" s="137">
        <f>'DOE25'!J500</f>
        <v>0</v>
      </c>
      <c r="G161" s="138">
        <f t="shared" si="0"/>
        <v>675000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7500</v>
      </c>
      <c r="D162" s="137">
        <f>'DOE25'!H501</f>
        <v>252150</v>
      </c>
      <c r="E162" s="137">
        <f>'DOE25'!I501</f>
        <v>0</v>
      </c>
      <c r="F162" s="137">
        <f>'DOE25'!J501</f>
        <v>0</v>
      </c>
      <c r="G162" s="138">
        <f t="shared" si="0"/>
        <v>259650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67500</v>
      </c>
      <c r="D163" s="137">
        <f>'DOE25'!H502</f>
        <v>867150</v>
      </c>
      <c r="E163" s="137">
        <f>'DOE25'!I502</f>
        <v>0</v>
      </c>
      <c r="F163" s="137">
        <f>'DOE25'!J502</f>
        <v>0</v>
      </c>
      <c r="G163" s="138">
        <f t="shared" si="0"/>
        <v>934650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>Jaffrey-Rindge Cooperative School District (SAU47)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12649</v>
      </c>
    </row>
    <row r="5" spans="1:4" x14ac:dyDescent="0.2">
      <c r="B5" t="s">
        <v>704</v>
      </c>
      <c r="C5" s="179">
        <f>IF('DOE25'!G664+'DOE25'!G669=0,0,ROUND('DOE25'!G671,0))</f>
        <v>12833</v>
      </c>
    </row>
    <row r="6" spans="1:4" x14ac:dyDescent="0.2">
      <c r="B6" t="s">
        <v>62</v>
      </c>
      <c r="C6" s="179">
        <f>IF('DOE25'!H664+'DOE25'!H669=0,0,ROUND('DOE25'!H671,0))</f>
        <v>13046</v>
      </c>
    </row>
    <row r="7" spans="1:4" x14ac:dyDescent="0.2">
      <c r="B7" t="s">
        <v>705</v>
      </c>
      <c r="C7" s="179">
        <f>IF('DOE25'!I664+'DOE25'!I669=0,0,ROUND('DOE25'!I671,0))</f>
        <v>12814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7463528</v>
      </c>
      <c r="D10" s="182">
        <f>ROUND((C10/$C$28)*100,1)</f>
        <v>33.200000000000003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4942914</v>
      </c>
      <c r="D11" s="182">
        <f>ROUND((C11/$C$28)*100,1)</f>
        <v>22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450679</v>
      </c>
      <c r="D12" s="182">
        <f>ROUND((C12/$C$28)*100,1)</f>
        <v>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627032</v>
      </c>
      <c r="D13" s="182">
        <f>ROUND((C13/$C$28)*100,1)</f>
        <v>2.8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1539245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801938</v>
      </c>
      <c r="D16" s="182">
        <f t="shared" si="0"/>
        <v>3.6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1048549</v>
      </c>
      <c r="D17" s="182">
        <f t="shared" si="0"/>
        <v>4.7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1168996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423394</v>
      </c>
      <c r="D19" s="182">
        <f t="shared" si="0"/>
        <v>1.9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2052357</v>
      </c>
      <c r="D20" s="182">
        <f t="shared" si="0"/>
        <v>9.1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1325549</v>
      </c>
      <c r="D21" s="182">
        <f t="shared" si="0"/>
        <v>5.9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8730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9624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295935</v>
      </c>
      <c r="D25" s="182">
        <f t="shared" si="0"/>
        <v>1.3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310411.21999999997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22468881.219999999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110613</v>
      </c>
    </row>
    <row r="30" spans="1:4" x14ac:dyDescent="0.2">
      <c r="B30" s="187" t="s">
        <v>729</v>
      </c>
      <c r="C30" s="180">
        <f>SUM(C28:C29)</f>
        <v>22579494.219999999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805000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13535176</v>
      </c>
      <c r="D35" s="182">
        <f t="shared" ref="D35:D40" si="1">ROUND((C35/$C$41)*100,1)</f>
        <v>57.7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148956.47999999858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7551425</v>
      </c>
      <c r="D37" s="182">
        <f t="shared" si="1"/>
        <v>32.200000000000003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598039</v>
      </c>
      <c r="D38" s="182">
        <f t="shared" si="1"/>
        <v>2.5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1643826</v>
      </c>
      <c r="D39" s="182">
        <f t="shared" si="1"/>
        <v>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23477422.479999997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770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86" t="s">
        <v>767</v>
      </c>
      <c r="B2" s="287"/>
      <c r="C2" s="287"/>
      <c r="D2" s="287"/>
      <c r="E2" s="287"/>
      <c r="F2" s="294" t="str">
        <f>'DOE25'!A2</f>
        <v>Jaffrey-Rindge Cooperative School District (SAU47)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2" t="s">
        <v>771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7"/>
      <c r="AO29" s="207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7"/>
      <c r="BB29" s="207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7"/>
      <c r="BO29" s="207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7"/>
      <c r="CB29" s="207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7"/>
      <c r="CO29" s="207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7"/>
      <c r="DB29" s="207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7"/>
      <c r="DO29" s="207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7"/>
      <c r="EB29" s="207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7"/>
      <c r="EO29" s="207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7"/>
      <c r="FB29" s="207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7"/>
      <c r="FO29" s="207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7"/>
      <c r="GB29" s="207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7"/>
      <c r="GO29" s="207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7"/>
      <c r="HB29" s="207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7"/>
      <c r="HO29" s="207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7"/>
      <c r="IB29" s="207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7"/>
      <c r="IO29" s="207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7"/>
      <c r="AO30" s="207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7"/>
      <c r="BB30" s="207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7"/>
      <c r="BO30" s="207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7"/>
      <c r="CB30" s="207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7"/>
      <c r="CO30" s="207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7"/>
      <c r="DB30" s="207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7"/>
      <c r="DO30" s="207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7"/>
      <c r="EB30" s="207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7"/>
      <c r="EO30" s="207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7"/>
      <c r="FB30" s="207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7"/>
      <c r="FO30" s="207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7"/>
      <c r="GB30" s="207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7"/>
      <c r="GO30" s="207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7"/>
      <c r="HB30" s="207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7"/>
      <c r="HO30" s="207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7"/>
      <c r="IB30" s="207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7"/>
      <c r="IO30" s="207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7"/>
      <c r="AO31" s="207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7"/>
      <c r="BB31" s="207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7"/>
      <c r="BO31" s="207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7"/>
      <c r="CB31" s="207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7"/>
      <c r="CO31" s="207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7"/>
      <c r="DB31" s="207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7"/>
      <c r="DO31" s="207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7"/>
      <c r="EB31" s="207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7"/>
      <c r="EO31" s="207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7"/>
      <c r="FB31" s="207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7"/>
      <c r="FO31" s="207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7"/>
      <c r="GB31" s="207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7"/>
      <c r="GO31" s="207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7"/>
      <c r="HB31" s="207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7"/>
      <c r="HO31" s="207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7"/>
      <c r="IB31" s="207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7"/>
      <c r="IO31" s="207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9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7"/>
      <c r="AO38" s="207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7"/>
      <c r="BB38" s="207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7"/>
      <c r="BO38" s="207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7"/>
      <c r="CB38" s="207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7"/>
      <c r="CO38" s="207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7"/>
      <c r="DB38" s="207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7"/>
      <c r="DO38" s="207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7"/>
      <c r="EB38" s="207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7"/>
      <c r="EO38" s="207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7"/>
      <c r="FB38" s="207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7"/>
      <c r="FO38" s="207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7"/>
      <c r="GB38" s="207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7"/>
      <c r="GO38" s="207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7"/>
      <c r="HB38" s="207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7"/>
      <c r="HO38" s="207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7"/>
      <c r="IB38" s="207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7"/>
      <c r="IO38" s="207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7"/>
      <c r="AO39" s="207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7"/>
      <c r="BB39" s="207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7"/>
      <c r="BO39" s="207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7"/>
      <c r="CB39" s="207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7"/>
      <c r="CO39" s="207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7"/>
      <c r="DB39" s="207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7"/>
      <c r="DO39" s="207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7"/>
      <c r="EB39" s="207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7"/>
      <c r="EO39" s="207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7"/>
      <c r="FB39" s="207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7"/>
      <c r="FO39" s="207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7"/>
      <c r="GB39" s="207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7"/>
      <c r="GO39" s="207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7"/>
      <c r="HB39" s="207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7"/>
      <c r="HO39" s="207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7"/>
      <c r="IB39" s="207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7"/>
      <c r="IO39" s="207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7"/>
      <c r="AO40" s="207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7"/>
      <c r="BB40" s="207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7"/>
      <c r="BO40" s="207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7"/>
      <c r="CB40" s="207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7"/>
      <c r="CO40" s="207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7"/>
      <c r="DB40" s="207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7"/>
      <c r="DO40" s="207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7"/>
      <c r="EB40" s="207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7"/>
      <c r="EO40" s="207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7"/>
      <c r="FB40" s="207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7"/>
      <c r="FO40" s="207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7"/>
      <c r="GB40" s="207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7"/>
      <c r="GO40" s="207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7"/>
      <c r="HB40" s="207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7"/>
      <c r="HO40" s="207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7"/>
      <c r="IB40" s="207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7"/>
      <c r="IO40" s="207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9" t="s">
        <v>848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1"/>
      <c r="B74" s="211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1"/>
      <c r="B75" s="211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1"/>
      <c r="B76" s="211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1"/>
      <c r="B77" s="211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1"/>
      <c r="B78" s="211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1"/>
      <c r="B79" s="211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1"/>
      <c r="B80" s="211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1"/>
      <c r="B81" s="211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1"/>
      <c r="B82" s="211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1"/>
      <c r="B83" s="211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1"/>
      <c r="B84" s="211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1"/>
      <c r="B85" s="211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1"/>
      <c r="B86" s="211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1"/>
      <c r="B87" s="211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1"/>
      <c r="B88" s="211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1"/>
      <c r="B89" s="211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1"/>
      <c r="B90" s="211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BB0A" sheet="1" objects="1" scenarios="1"/>
  <mergeCells count="223"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61:M6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76:M76"/>
    <mergeCell ref="C66:M66"/>
    <mergeCell ref="C70:M70"/>
    <mergeCell ref="A72:E72"/>
    <mergeCell ref="C73:M73"/>
    <mergeCell ref="C74:M74"/>
    <mergeCell ref="C35:M35"/>
    <mergeCell ref="C36:M36"/>
    <mergeCell ref="C38:M38"/>
    <mergeCell ref="C65:M65"/>
    <mergeCell ref="C56:M56"/>
    <mergeCell ref="C57:M57"/>
    <mergeCell ref="C59:M59"/>
    <mergeCell ref="C60:M60"/>
    <mergeCell ref="C58:M58"/>
    <mergeCell ref="C62:M62"/>
    <mergeCell ref="C52:M52"/>
    <mergeCell ref="C50:M50"/>
    <mergeCell ref="C47:M47"/>
    <mergeCell ref="C48:M48"/>
    <mergeCell ref="C49:M49"/>
    <mergeCell ref="C51:M51"/>
    <mergeCell ref="C21:M21"/>
    <mergeCell ref="C22:M22"/>
    <mergeCell ref="C23:M23"/>
    <mergeCell ref="C24:M24"/>
    <mergeCell ref="C29:M29"/>
    <mergeCell ref="C25:M25"/>
    <mergeCell ref="C26:M26"/>
    <mergeCell ref="C27:M27"/>
    <mergeCell ref="C34:M34"/>
    <mergeCell ref="DP29:DZ29"/>
    <mergeCell ref="CC30:CM30"/>
    <mergeCell ref="BC30:BM30"/>
    <mergeCell ref="BP30:BZ30"/>
    <mergeCell ref="DC30:DM30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P29:AZ29"/>
    <mergeCell ref="C14:M14"/>
    <mergeCell ref="C15:M15"/>
    <mergeCell ref="C16:M16"/>
    <mergeCell ref="C17:M17"/>
    <mergeCell ref="C18:M18"/>
    <mergeCell ref="C19:M19"/>
    <mergeCell ref="C20:M20"/>
    <mergeCell ref="C28:M28"/>
    <mergeCell ref="P30:Z30"/>
    <mergeCell ref="AC30:AM30"/>
    <mergeCell ref="AP30:AZ30"/>
    <mergeCell ref="C41:M41"/>
    <mergeCell ref="C33:M33"/>
    <mergeCell ref="C37:M37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32:M32"/>
    <mergeCell ref="C30:M30"/>
    <mergeCell ref="C31:M31"/>
    <mergeCell ref="P31:Z31"/>
    <mergeCell ref="AC31:AM31"/>
    <mergeCell ref="AP31:AZ31"/>
    <mergeCell ref="P32:Z32"/>
    <mergeCell ref="AC32:AM32"/>
    <mergeCell ref="C39:M39"/>
    <mergeCell ref="EC29:EM29"/>
    <mergeCell ref="EP29:EZ29"/>
    <mergeCell ref="FC29:FM29"/>
    <mergeCell ref="CP29:CZ29"/>
    <mergeCell ref="IC30:IM30"/>
    <mergeCell ref="IP30:IV30"/>
    <mergeCell ref="GC30:GM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P30:DZ30"/>
    <mergeCell ref="DC29:DM29"/>
    <mergeCell ref="EC30:EM30"/>
    <mergeCell ref="EP30:EZ30"/>
    <mergeCell ref="CP30:CZ30"/>
    <mergeCell ref="HP30:HZ30"/>
    <mergeCell ref="FC30:FM30"/>
    <mergeCell ref="FP30:FZ30"/>
    <mergeCell ref="BC31:BM31"/>
    <mergeCell ref="BC32:BM32"/>
    <mergeCell ref="BC39:BM39"/>
    <mergeCell ref="BP31:BZ31"/>
    <mergeCell ref="CC31:CM31"/>
    <mergeCell ref="AP32:AZ32"/>
    <mergeCell ref="IC31:IM31"/>
    <mergeCell ref="IP31:IV31"/>
    <mergeCell ref="CP32:CZ32"/>
    <mergeCell ref="DC32:DM32"/>
    <mergeCell ref="CC32:CM32"/>
    <mergeCell ref="DP32:DZ32"/>
    <mergeCell ref="EC32:EM32"/>
    <mergeCell ref="EP32:EZ32"/>
    <mergeCell ref="FC32:FM32"/>
    <mergeCell ref="BP32:BZ32"/>
    <mergeCell ref="CP31:CZ31"/>
    <mergeCell ref="FP32:FZ32"/>
    <mergeCell ref="DC31:DM31"/>
    <mergeCell ref="DP31:DZ31"/>
    <mergeCell ref="EC31:EM31"/>
    <mergeCell ref="EP31:EZ31"/>
    <mergeCell ref="HP31:HZ31"/>
    <mergeCell ref="FC31:FM31"/>
    <mergeCell ref="FP31:FZ31"/>
    <mergeCell ref="GC31:GM31"/>
    <mergeCell ref="GP31:GZ31"/>
    <mergeCell ref="HC31:HM31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GP32:GZ32"/>
    <mergeCell ref="GC32:GM32"/>
    <mergeCell ref="HC39:HM39"/>
    <mergeCell ref="DC39:DM39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BP38:BZ38"/>
    <mergeCell ref="CC38:CM38"/>
    <mergeCell ref="DC38:DM38"/>
    <mergeCell ref="DP38:DZ38"/>
    <mergeCell ref="EC38:EM38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DC40:DM40"/>
    <mergeCell ref="EP40:EZ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P40:Z40"/>
    <mergeCell ref="AC40:AM40"/>
    <mergeCell ref="AP40:AZ40"/>
    <mergeCell ref="C42:M42"/>
    <mergeCell ref="C40: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2013-09-05T20:36:22Z</cp:lastPrinted>
  <dcterms:created xsi:type="dcterms:W3CDTF">1997-12-04T19:04:30Z</dcterms:created>
  <dcterms:modified xsi:type="dcterms:W3CDTF">2013-12-05T18:47:44Z</dcterms:modified>
</cp:coreProperties>
</file>