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G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E110" i="2" s="1"/>
  <c r="L316" i="1"/>
  <c r="L318" i="1"/>
  <c r="E117" i="2" s="1"/>
  <c r="L319" i="1"/>
  <c r="L320" i="1"/>
  <c r="E119" i="2" s="1"/>
  <c r="L321" i="1"/>
  <c r="E120" i="2" s="1"/>
  <c r="L322" i="1"/>
  <c r="E121" i="2" s="1"/>
  <c r="L323" i="1"/>
  <c r="L324" i="1"/>
  <c r="E123" i="2" s="1"/>
  <c r="L325" i="1"/>
  <c r="E124" i="2" s="1"/>
  <c r="L332" i="1"/>
  <c r="L333" i="1"/>
  <c r="L334" i="1"/>
  <c r="E113" i="2" s="1"/>
  <c r="L259" i="1"/>
  <c r="C32" i="10" s="1"/>
  <c r="L260" i="1"/>
  <c r="C25" i="10" s="1"/>
  <c r="L340" i="1"/>
  <c r="L341" i="1"/>
  <c r="L254" i="1"/>
  <c r="C29" i="10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55" i="2" s="1"/>
  <c r="F78" i="1"/>
  <c r="C56" i="2" s="1"/>
  <c r="F93" i="1"/>
  <c r="F110" i="1"/>
  <c r="G110" i="1"/>
  <c r="H78" i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E84" i="2" s="1"/>
  <c r="H161" i="1"/>
  <c r="I146" i="1"/>
  <c r="I161" i="1"/>
  <c r="C11" i="10"/>
  <c r="C20" i="10"/>
  <c r="L249" i="1"/>
  <c r="L331" i="1"/>
  <c r="C23" i="10" s="1"/>
  <c r="L253" i="1"/>
  <c r="L267" i="1"/>
  <c r="L268" i="1"/>
  <c r="L348" i="1"/>
  <c r="L349" i="1"/>
  <c r="I664" i="1"/>
  <c r="I669" i="1"/>
  <c r="L210" i="1"/>
  <c r="L228" i="1"/>
  <c r="F660" i="1"/>
  <c r="F663" i="1" s="1"/>
  <c r="F661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E14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I551" i="1" s="1"/>
  <c r="L540" i="1"/>
  <c r="J548" i="1" s="1"/>
  <c r="L541" i="1"/>
  <c r="J549" i="1" s="1"/>
  <c r="L542" i="1"/>
  <c r="J550" i="1" s="1"/>
  <c r="J551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1" i="2"/>
  <c r="C112" i="2"/>
  <c r="E112" i="2"/>
  <c r="C113" i="2"/>
  <c r="D114" i="2"/>
  <c r="F114" i="2"/>
  <c r="G114" i="2"/>
  <c r="E118" i="2"/>
  <c r="C122" i="2"/>
  <c r="E122" i="2"/>
  <c r="F127" i="2"/>
  <c r="G127" i="2"/>
  <c r="E129" i="2"/>
  <c r="F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F256" i="1" s="1"/>
  <c r="F270" i="1" s="1"/>
  <c r="G246" i="1"/>
  <c r="G256" i="1" s="1"/>
  <c r="G270" i="1" s="1"/>
  <c r="H246" i="1"/>
  <c r="H256" i="1" s="1"/>
  <c r="H270" i="1" s="1"/>
  <c r="I246" i="1"/>
  <c r="I256" i="1" s="1"/>
  <c r="I270" i="1" s="1"/>
  <c r="J246" i="1"/>
  <c r="K246" i="1"/>
  <c r="K256" i="1" s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F337" i="1" s="1"/>
  <c r="F351" i="1" s="1"/>
  <c r="G327" i="1"/>
  <c r="G337" i="1" s="1"/>
  <c r="G351" i="1" s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K544" i="1" s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L564" i="1" s="1"/>
  <c r="F564" i="1"/>
  <c r="F570" i="1" s="1"/>
  <c r="G564" i="1"/>
  <c r="H564" i="1"/>
  <c r="H570" i="1" s="1"/>
  <c r="I564" i="1"/>
  <c r="I570" i="1" s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H626" i="1"/>
  <c r="H627" i="1"/>
  <c r="H628" i="1"/>
  <c r="H629" i="1"/>
  <c r="H630" i="1"/>
  <c r="H631" i="1"/>
  <c r="H632" i="1"/>
  <c r="G633" i="1"/>
  <c r="H633" i="1"/>
  <c r="H634" i="1"/>
  <c r="H635" i="1"/>
  <c r="J635" i="1" s="1"/>
  <c r="H636" i="1"/>
  <c r="H637" i="1"/>
  <c r="G638" i="1"/>
  <c r="H638" i="1"/>
  <c r="G640" i="1"/>
  <c r="H640" i="1"/>
  <c r="G642" i="1"/>
  <c r="H642" i="1"/>
  <c r="G643" i="1"/>
  <c r="G648" i="1"/>
  <c r="J648" i="1" s="1"/>
  <c r="G649" i="1"/>
  <c r="G651" i="1"/>
  <c r="H651" i="1"/>
  <c r="G652" i="1"/>
  <c r="H652" i="1"/>
  <c r="G653" i="1"/>
  <c r="H653" i="1"/>
  <c r="H654" i="1"/>
  <c r="J654" i="1" s="1"/>
  <c r="L255" i="1"/>
  <c r="G163" i="2"/>
  <c r="G159" i="2"/>
  <c r="C26" i="10"/>
  <c r="L289" i="1"/>
  <c r="F659" i="1" s="1"/>
  <c r="G161" i="2"/>
  <c r="E49" i="2"/>
  <c r="D18" i="13"/>
  <c r="C18" i="13" s="1"/>
  <c r="F102" i="2"/>
  <c r="D17" i="13"/>
  <c r="C17" i="13" s="1"/>
  <c r="G158" i="2"/>
  <c r="G80" i="2"/>
  <c r="F77" i="2"/>
  <c r="F80" i="2" s="1"/>
  <c r="F61" i="2"/>
  <c r="G156" i="2"/>
  <c r="G162" i="2"/>
  <c r="G160" i="2"/>
  <c r="G157" i="2"/>
  <c r="G155" i="2"/>
  <c r="G102" i="2"/>
  <c r="E102" i="2"/>
  <c r="F90" i="2"/>
  <c r="G61" i="2"/>
  <c r="D19" i="13"/>
  <c r="C19" i="13" s="1"/>
  <c r="D14" i="13"/>
  <c r="C14" i="13" s="1"/>
  <c r="E77" i="2"/>
  <c r="E80" i="2" s="1"/>
  <c r="J640" i="1"/>
  <c r="J638" i="1"/>
  <c r="J570" i="1"/>
  <c r="K570" i="1"/>
  <c r="L432" i="1"/>
  <c r="L418" i="1"/>
  <c r="I168" i="1"/>
  <c r="J642" i="1"/>
  <c r="J475" i="1"/>
  <c r="H625" i="1" s="1"/>
  <c r="I475" i="1"/>
  <c r="H624" i="1" s="1"/>
  <c r="J139" i="1"/>
  <c r="K548" i="1"/>
  <c r="K549" i="1"/>
  <c r="G22" i="2"/>
  <c r="H551" i="1"/>
  <c r="H139" i="1"/>
  <c r="L392" i="1"/>
  <c r="C137" i="2" s="1"/>
  <c r="L559" i="1"/>
  <c r="J544" i="1"/>
  <c r="H191" i="1"/>
  <c r="L308" i="1"/>
  <c r="L569" i="1"/>
  <c r="G36" i="2"/>
  <c r="H475" i="1" l="1"/>
  <c r="H623" i="1" s="1"/>
  <c r="G475" i="1"/>
  <c r="H622" i="1" s="1"/>
  <c r="J622" i="1" s="1"/>
  <c r="K604" i="1"/>
  <c r="G647" i="1" s="1"/>
  <c r="H544" i="1"/>
  <c r="L528" i="1"/>
  <c r="J633" i="1"/>
  <c r="C12" i="10"/>
  <c r="C130" i="2"/>
  <c r="D15" i="13"/>
  <c r="C15" i="13" s="1"/>
  <c r="F22" i="13"/>
  <c r="C22" i="13" s="1"/>
  <c r="C129" i="2"/>
  <c r="J256" i="1"/>
  <c r="J270" i="1" s="1"/>
  <c r="A31" i="12"/>
  <c r="C13" i="10"/>
  <c r="D90" i="2"/>
  <c r="D61" i="2"/>
  <c r="D62" i="2" s="1"/>
  <c r="G111" i="1"/>
  <c r="F49" i="2"/>
  <c r="D49" i="2"/>
  <c r="D31" i="2"/>
  <c r="G621" i="1"/>
  <c r="L533" i="1"/>
  <c r="G544" i="1"/>
  <c r="A13" i="12"/>
  <c r="A40" i="12"/>
  <c r="F475" i="1"/>
  <c r="H621" i="1" s="1"/>
  <c r="J621" i="1" s="1"/>
  <c r="K597" i="1"/>
  <c r="G646" i="1" s="1"/>
  <c r="L613" i="1"/>
  <c r="I544" i="1"/>
  <c r="K550" i="1"/>
  <c r="K551" i="1" s="1"/>
  <c r="F551" i="1"/>
  <c r="L523" i="1"/>
  <c r="L400" i="1"/>
  <c r="C138" i="2" s="1"/>
  <c r="H407" i="1"/>
  <c r="H643" i="1" s="1"/>
  <c r="J643" i="1" s="1"/>
  <c r="J639" i="1"/>
  <c r="I459" i="1"/>
  <c r="I460" i="1" s="1"/>
  <c r="H641" i="1" s="1"/>
  <c r="I445" i="1"/>
  <c r="G641" i="1" s="1"/>
  <c r="G407" i="1"/>
  <c r="H644" i="1" s="1"/>
  <c r="L361" i="1"/>
  <c r="G634" i="1" s="1"/>
  <c r="J634" i="1" s="1"/>
  <c r="D126" i="2"/>
  <c r="D127" i="2" s="1"/>
  <c r="D144" i="2" s="1"/>
  <c r="H660" i="1"/>
  <c r="I660" i="1" s="1"/>
  <c r="D29" i="13"/>
  <c r="C29" i="13" s="1"/>
  <c r="L350" i="1"/>
  <c r="K337" i="1"/>
  <c r="K351" i="1" s="1"/>
  <c r="C18" i="10"/>
  <c r="J337" i="1"/>
  <c r="J351" i="1" s="1"/>
  <c r="H337" i="1"/>
  <c r="H351" i="1" s="1"/>
  <c r="L336" i="1"/>
  <c r="H661" i="1"/>
  <c r="I661" i="1" s="1"/>
  <c r="E127" i="2"/>
  <c r="C16" i="10"/>
  <c r="C15" i="10"/>
  <c r="L327" i="1"/>
  <c r="E111" i="2"/>
  <c r="E114" i="2" s="1"/>
  <c r="C10" i="10"/>
  <c r="H25" i="13"/>
  <c r="C25" i="13" s="1"/>
  <c r="C131" i="2"/>
  <c r="H33" i="13"/>
  <c r="K270" i="1"/>
  <c r="E13" i="13"/>
  <c r="C13" i="13" s="1"/>
  <c r="C108" i="2"/>
  <c r="G650" i="1"/>
  <c r="J650" i="1" s="1"/>
  <c r="C123" i="2"/>
  <c r="C118" i="2"/>
  <c r="D7" i="13"/>
  <c r="C7" i="13" s="1"/>
  <c r="C117" i="2"/>
  <c r="C121" i="2"/>
  <c r="E8" i="13"/>
  <c r="C8" i="13" s="1"/>
  <c r="C19" i="10"/>
  <c r="C17" i="10"/>
  <c r="C124" i="2"/>
  <c r="E16" i="13"/>
  <c r="C21" i="10"/>
  <c r="H646" i="1"/>
  <c r="C120" i="2"/>
  <c r="D12" i="13"/>
  <c r="C12" i="13" s="1"/>
  <c r="L246" i="1"/>
  <c r="L256" i="1" s="1"/>
  <c r="L270" i="1" s="1"/>
  <c r="G631" i="1" s="1"/>
  <c r="J631" i="1" s="1"/>
  <c r="D6" i="13"/>
  <c r="C6" i="13" s="1"/>
  <c r="D5" i="13"/>
  <c r="C5" i="13" s="1"/>
  <c r="C110" i="2"/>
  <c r="I111" i="1"/>
  <c r="H168" i="1"/>
  <c r="H111" i="1"/>
  <c r="G191" i="1"/>
  <c r="D80" i="2"/>
  <c r="F191" i="1"/>
  <c r="C61" i="2"/>
  <c r="G644" i="1"/>
  <c r="J644" i="1" s="1"/>
  <c r="F62" i="2"/>
  <c r="F103" i="2" s="1"/>
  <c r="E56" i="2"/>
  <c r="E61" i="2" s="1"/>
  <c r="E62" i="2" s="1"/>
  <c r="F671" i="1"/>
  <c r="C4" i="10" s="1"/>
  <c r="F666" i="1"/>
  <c r="C102" i="2"/>
  <c r="F168" i="1"/>
  <c r="C84" i="2"/>
  <c r="C90" i="2" s="1"/>
  <c r="C77" i="2"/>
  <c r="C69" i="2"/>
  <c r="C35" i="10"/>
  <c r="F111" i="1"/>
  <c r="C62" i="2"/>
  <c r="J624" i="1"/>
  <c r="I51" i="1"/>
  <c r="H619" i="1" s="1"/>
  <c r="J619" i="1" s="1"/>
  <c r="F31" i="2"/>
  <c r="F50" i="2" s="1"/>
  <c r="F18" i="2"/>
  <c r="J623" i="1"/>
  <c r="E31" i="2"/>
  <c r="E50" i="2" s="1"/>
  <c r="H51" i="1"/>
  <c r="H618" i="1" s="1"/>
  <c r="J618" i="1" s="1"/>
  <c r="E18" i="2"/>
  <c r="G51" i="1"/>
  <c r="H617" i="1" s="1"/>
  <c r="J617" i="1" s="1"/>
  <c r="D18" i="2"/>
  <c r="C49" i="2"/>
  <c r="C31" i="2"/>
  <c r="J616" i="1"/>
  <c r="C18" i="2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G168" i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D102" i="2"/>
  <c r="I139" i="1"/>
  <c r="I192" i="1" s="1"/>
  <c r="G629" i="1" s="1"/>
  <c r="J629" i="1" s="1"/>
  <c r="A22" i="12"/>
  <c r="G49" i="2"/>
  <c r="G50" i="2" s="1"/>
  <c r="J651" i="1"/>
  <c r="G570" i="1"/>
  <c r="I433" i="1"/>
  <c r="G433" i="1"/>
  <c r="I662" i="1"/>
  <c r="C27" i="10"/>
  <c r="L544" i="1" l="1"/>
  <c r="J641" i="1"/>
  <c r="C140" i="2"/>
  <c r="C143" i="2" s="1"/>
  <c r="C114" i="2"/>
  <c r="H192" i="1"/>
  <c r="G628" i="1" s="1"/>
  <c r="J628" i="1" s="1"/>
  <c r="D103" i="2"/>
  <c r="C80" i="2"/>
  <c r="C50" i="2"/>
  <c r="J646" i="1"/>
  <c r="L407" i="1"/>
  <c r="H647" i="1"/>
  <c r="J647" i="1" s="1"/>
  <c r="L337" i="1"/>
  <c r="L351" i="1" s="1"/>
  <c r="G632" i="1" s="1"/>
  <c r="J632" i="1" s="1"/>
  <c r="E144" i="2"/>
  <c r="D31" i="13"/>
  <c r="C31" i="13" s="1"/>
  <c r="C127" i="2"/>
  <c r="C28" i="10"/>
  <c r="D24" i="10" s="1"/>
  <c r="E33" i="13"/>
  <c r="D35" i="13" s="1"/>
  <c r="C16" i="13"/>
  <c r="H659" i="1"/>
  <c r="H663" i="1" s="1"/>
  <c r="G671" i="1"/>
  <c r="C5" i="10" s="1"/>
  <c r="C39" i="10"/>
  <c r="E103" i="2"/>
  <c r="F192" i="1"/>
  <c r="G626" i="1" s="1"/>
  <c r="J626" i="1" s="1"/>
  <c r="C103" i="2"/>
  <c r="C36" i="10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C144" i="2" l="1"/>
  <c r="G636" i="1"/>
  <c r="J636" i="1" s="1"/>
  <c r="H645" i="1"/>
  <c r="J645" i="1" s="1"/>
  <c r="D33" i="13"/>
  <c r="D36" i="13" s="1"/>
  <c r="D11" i="10"/>
  <c r="D13" i="10"/>
  <c r="D22" i="10"/>
  <c r="D26" i="10"/>
  <c r="D10" i="10"/>
  <c r="D21" i="10"/>
  <c r="C30" i="10"/>
  <c r="D16" i="10"/>
  <c r="D23" i="10"/>
  <c r="D20" i="10"/>
  <c r="D15" i="10"/>
  <c r="D25" i="10"/>
  <c r="D19" i="10"/>
  <c r="D27" i="10"/>
  <c r="D18" i="10"/>
  <c r="D17" i="10"/>
  <c r="D12" i="10"/>
  <c r="I659" i="1"/>
  <c r="I663" i="1" s="1"/>
  <c r="I671" i="1" s="1"/>
  <c r="C7" i="10" s="1"/>
  <c r="H666" i="1"/>
  <c r="H671" i="1"/>
  <c r="C6" i="10" s="1"/>
  <c r="C41" i="10"/>
  <c r="D38" i="10" s="1"/>
  <c r="H655" i="1" l="1"/>
  <c r="D28" i="10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<sst xmlns="http://schemas.openxmlformats.org/spreadsheetml/2006/main" count="3946" uniqueCount="912">
  <si>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</si>
  <si>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</si>
  <si>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</si>
  <si>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</si>
  <si>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</si>
  <si>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</si>
  <si>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</si>
  <si>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</si>
  <si>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</si>
  <si>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</si>
  <si>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</si>
  <si>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</si>
  <si>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</si>
  <si>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</si>
  <si>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</si>
  <si>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</si>
  <si>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</si>
  <si>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</si>
  <si>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</si>
  <si>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</si>
  <si>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</si>
  <si>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</si>
  <si>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</si>
  <si>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</si>
  <si>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</si>
  <si>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</si>
  <si>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</si>
  <si>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</si>
  <si>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</si>
  <si>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</si>
  <si>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</si>
  <si>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</si>
  <si>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</si>
  <si>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</si>
  <si>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</si>
  <si>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</si>
  <si>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</si>
  <si>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</si>
  <si>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</si>
  <si>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</si>
  <si>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</si>
  <si>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</si>
  <si>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</si>
  <si>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</si>
  <si>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</si>
  <si>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</si>
  <si>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</si>
  <si>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</si>
  <si>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</si>
  <si>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</si>
  <si>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</si>
  <si>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</si>
  <si>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</si>
  <si>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</si>
  <si>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</si>
  <si>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</si>
  <si>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</si>
  <si>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</si>
  <si>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</si>
  <si>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</si>
  <si>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</si>
  <si>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</si>
  <si>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</si>
  <si>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</si>
  <si>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</si>
  <si>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</si>
  <si>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</si>
  <si>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</si>
  <si>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</si>
  <si>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</si>
  <si>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</si>
  <si>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</si>
  <si>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</si>
  <si>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</si>
  <si>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</si>
  <si>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</si>
  <si>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</si>
  <si>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</si>
  <si>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</si>
  <si>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</si>
  <si>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</si>
  <si>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</si>
  <si>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</si>
  <si>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</si>
  <si>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</si>
  <si>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</si>
  <si>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</si>
  <si>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</si>
  <si>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</si>
  <si>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</si>
  <si>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</si>
  <si>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</si>
  <si>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</si>
  <si>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</si>
  <si>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</si>
  <si>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</si>
  <si>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</si>
  <si>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</si>
  <si>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</si>
  <si>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</si>
  <si>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</si>
  <si>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</si>
  <si>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</si>
  <si>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</si>
  <si>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</si>
  <si>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</si>
  <si>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</si>
  <si>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</si>
  <si>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</si>
  <si>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</si>
  <si>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</si>
  <si>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</si>
  <si>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</si>
  <si>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</si>
  <si>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</si>
  <si>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</si>
  <si>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</si>
  <si>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</si>
  <si>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</si>
  <si>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</si>
  <si>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</si>
  <si>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</si>
  <si>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</si>
  <si>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</si>
  <si>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</si>
  <si>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</si>
  <si>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</si>
  <si>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</si>
  <si>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</si>
  <si>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</si>
  <si>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</si>
  <si>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</si>
  <si>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</si>
  <si>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</si>
  <si>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</si>
  <si>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</si>
  <si>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</si>
  <si>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</si>
  <si>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</si>
  <si>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</si>
  <si>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</si>
  <si>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</si>
  <si>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</si>
  <si>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</si>
  <si>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</si>
  <si>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</si>
  <si>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</si>
  <si>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</si>
  <si>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</si>
  <si>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</si>
  <si>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</si>
  <si>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</si>
  <si>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</si>
  <si>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</si>
  <si>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</si>
  <si>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</si>
  <si>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</si>
  <si>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</si>
  <si>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</si>
  <si>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</si>
  <si>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</si>
  <si>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</si>
  <si>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</si>
  <si>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</si>
  <si>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</si>
  <si>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</si>
  <si>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</si>
  <si>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</si>
  <si>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</si>
  <si>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</si>
  <si>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</si>
  <si>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</si>
  <si>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</si>
  <si>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</si>
  <si>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</si>
  <si>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</si>
  <si>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</si>
  <si>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</si>
  <si>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</si>
  <si>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</si>
  <si>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</si>
  <si>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</si>
  <si>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</si>
  <si>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</si>
  <si>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</si>
  <si>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</si>
  <si>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</si>
  <si>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</si>
  <si>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</si>
  <si>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</si>
  <si>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</si>
  <si>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</si>
  <si>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</si>
  <si>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</si>
  <si>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</si>
  <si>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</si>
  <si>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</si>
  <si>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</si>
  <si>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</si>
  <si>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</si>
  <si>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</si>
  <si>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</si>
  <si>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</si>
  <si>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</si>
  <si>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</si>
  <si>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</si>
  <si>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</si>
  <si>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</si>
  <si>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</si>
  <si>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</si>
  <si>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</si>
  <si>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</si>
  <si>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</si>
  <si>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</si>
  <si>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</si>
  <si>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</si>
  <si>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</si>
  <si>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</si>
  <si>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</si>
  <si>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</si>
  <si>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</si>
  <si>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</si>
  <si>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</si>
  <si>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</si>
  <si>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</si>
  <si>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</si>
  <si>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</si>
  <si>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</si>
  <si>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</si>
  <si>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</si>
  <si>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</si>
  <si>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</si>
  <si>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</si>
  <si>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</si>
  <si>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</si>
  <si>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</si>
  <si>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</si>
  <si>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</si>
  <si>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</si>
  <si>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</si>
  <si>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</si>
  <si>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</si>
  <si>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</si>
  <si>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</si>
  <si>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</si>
  <si>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</si>
  <si>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</si>
  <si>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</si>
  <si>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</si>
  <si>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</si>
  <si>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</si>
  <si>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</si>
  <si>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</si>
  <si>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</si>
  <si>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</si>
  <si>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</si>
  <si>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</si>
  <si>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</si>
  <si>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</si>
  <si>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</si>
  <si>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</si>
  <si>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</si>
  <si>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</si>
  <si>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</si>
  <si>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</si>
  <si>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</si>
  <si>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</si>
  <si>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</si>
  <si>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</si>
  <si>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</si>
  <si>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</si>
  <si>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</si>
  <si>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</si>
  <si>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</si>
  <si>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</si>
  <si>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</si>
  <si>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</si>
  <si>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</si>
  <si>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</si>
  <si>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</si>
  <si>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</si>
  <si>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</si>
  <si>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</si>
  <si>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</si>
  <si>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</si>
  <si>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</si>
  <si>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</si>
  <si>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</si>
  <si>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</si>
  <si>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</si>
  <si>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</si>
  <si>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</si>
  <si>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</si>
  <si>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</si>
  <si>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</si>
  <si>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</si>
  <si>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</si>
  <si>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</si>
  <si>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</si>
  <si>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</si>
  <si>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</si>
  <si>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</si>
  <si>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</si>
  <si>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</si>
  <si>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</si>
  <si>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</si>
  <si>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</si>
  <si>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</si>
  <si>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</si>
  <si>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</si>
  <si>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</si>
  <si>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</si>
  <si>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</si>
  <si>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</si>
  <si>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</si>
  <si>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</si>
  <si>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</si>
  <si>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</si>
  <si>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</si>
  <si>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</si>
  <si>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</si>
  <si>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</si>
  <si>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</si>
  <si>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</si>
  <si>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</si>
  <si>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</si>
  <si>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</si>
  <si>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</si>
  <si>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</si>
  <si>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</si>
  <si>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</si>
  <si>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</si>
  <si>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</si>
  <si>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</si>
  <si>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</si>
  <si>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</si>
  <si>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</si>
  <si>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</si>
  <si>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</si>
  <si>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</si>
  <si>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</si>
  <si>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</si>
  <si>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</si>
  <si>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</si>
  <si>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</si>
  <si>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</si>
  <si>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</si>
  <si>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</si>
  <si>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</si>
  <si>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</si>
  <si>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</si>
  <si>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</si>
  <si>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</si>
  <si>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</si>
  <si>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</si>
  <si>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</si>
  <si>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</si>
  <si>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</si>
  <si>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</si>
  <si>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</si>
  <si>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</si>
  <si>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</si>
  <si>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</si>
  <si>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</si>
  <si>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</si>
  <si>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</si>
  <si>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</si>
  <si>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</si>
  <si>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</si>
  <si>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</si>
  <si>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</si>
  <si>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</si>
  <si>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</si>
  <si>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</si>
  <si>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</si>
  <si>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</si>
  <si>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</si>
  <si>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</si>
  <si>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</si>
  <si>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</si>
  <si>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</si>
  <si>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</si>
  <si>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</si>
  <si>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</si>
  <si>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</si>
  <si>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</si>
  <si>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</si>
  <si>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</si>
  <si>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</si>
  <si>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</si>
  <si>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</si>
  <si>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</si>
  <si>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</si>
  <si>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</si>
  <si>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</si>
  <si>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</si>
  <si>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</si>
  <si>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</si>
  <si>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</si>
  <si>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</si>
  <si>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</si>
  <si>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</si>
  <si>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</si>
  <si>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</si>
  <si>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</si>
  <si>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</si>
  <si>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</si>
  <si>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</si>
  <si>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</si>
  <si>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</si>
  <si>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</si>
  <si>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</si>
  <si>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</si>
  <si>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</si>
  <si>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</si>
  <si>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</si>
  <si>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</si>
  <si>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</si>
  <si>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</si>
  <si>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</si>
  <si>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</si>
  <si>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</si>
  <si>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</si>
  <si>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</si>
  <si>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</si>
  <si>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</si>
  <si>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</si>
  <si>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</si>
  <si>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</si>
  <si>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</si>
  <si>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</si>
  <si>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</si>
  <si>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</si>
  <si>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</si>
  <si>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</si>
  <si>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</si>
  <si>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</si>
  <si>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</si>
  <si>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</si>
  <si>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</si>
  <si>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</si>
  <si>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</si>
  <si>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</si>
  <si>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</si>
  <si>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</si>
  <si>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</si>
  <si>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</si>
  <si>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</si>
  <si>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</si>
  <si>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</si>
  <si>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</si>
  <si>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</si>
  <si>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</si>
  <si>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</si>
  <si>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</si>
  <si>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</si>
  <si>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</si>
  <si>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</si>
  <si>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</si>
  <si>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</si>
  <si>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</si>
  <si>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</si>
  <si>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</si>
  <si>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</si>
  <si>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</si>
  <si>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</si>
  <si>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</si>
  <si>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</si>
  <si>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</si>
  <si>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</si>
  <si>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</si>
  <si>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</si>
  <si>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</si>
  <si>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</si>
  <si>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</si>
  <si>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</si>
  <si>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</si>
  <si>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</si>
  <si>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</si>
  <si>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</si>
  <si>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</si>
  <si>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</si>
  <si>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</si>
  <si>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</si>
  <si>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</si>
  <si>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</si>
  <si>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</si>
  <si>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</si>
  <si>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</si>
  <si>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</si>
  <si>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</si>
  <si>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</si>
  <si>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</si>
  <si>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</si>
  <si>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</si>
  <si>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</si>
  <si>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</si>
  <si>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</si>
  <si>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</si>
  <si>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</si>
  <si>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</si>
  <si>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</si>
  <si>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</si>
  <si>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</si>
  <si>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</si>
  <si>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</si>
  <si>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</si>
  <si>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</si>
  <si>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</si>
  <si>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</si>
  <si>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</si>
  <si>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</si>
  <si>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</si>
  <si>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</si>
  <si>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</si>
  <si>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</si>
  <si>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</si>
  <si>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</si>
  <si>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</si>
  <si>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</si>
  <si>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</si>
  <si>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</si>
  <si>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</si>
  <si>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</si>
  <si>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</si>
  <si>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</si>
  <si>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</si>
  <si>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</si>
  <si>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</si>
  <si>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</si>
  <si>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</si>
  <si>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</si>
  <si>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</si>
  <si>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</si>
  <si>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</si>
  <si>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</si>
  <si>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</si>
  <si>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</si>
  <si>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</si>
  <si>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</si>
  <si>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</si>
  <si>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</si>
  <si>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</si>
  <si>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</si>
  <si>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</si>
  <si>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</si>
  <si>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</si>
  <si>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</si>
  <si>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</si>
  <si>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</si>
  <si>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</si>
  <si>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</si>
  <si>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</si>
  <si>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</si>
  <si>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</si>
  <si>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</si>
  <si>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</si>
  <si>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</si>
  <si>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</si>
  <si>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</si>
  <si>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</si>
  <si>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</si>
  <si>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</si>
  <si>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</si>
  <si>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</si>
  <si>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</si>
  <si>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</si>
  <si>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</si>
  <si>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</si>
  <si>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</si>
  <si>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</si>
  <si>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</si>
  <si>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</si>
  <si>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</si>
  <si>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</si>
  <si>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</si>
  <si>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</si>
  <si>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</si>
  <si>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</si>
  <si>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</si>
  <si>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</si>
  <si>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</si>
  <si>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</si>
  <si>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</si>
  <si>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</si>
  <si>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</si>
  <si>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</si>
  <si>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</si>
  <si>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</si>
  <si>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</si>
  <si>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</si>
  <si>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</si>
  <si>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</si>
  <si>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</si>
  <si>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</si>
  <si>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</si>
  <si>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</si>
  <si>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</si>
  <si>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</si>
  <si>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</si>
  <si>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</si>
  <si>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</si>
  <si>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</si>
  <si>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</si>
  <si>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</si>
  <si>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</si>
  <si>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</si>
  <si>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</si>
  <si>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</si>
  <si>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</si>
  <si>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</si>
  <si>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</si>
  <si>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</si>
  <si>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</si>
  <si>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</si>
  <si>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</si>
  <si>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</si>
  <si>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</si>
  <si>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</si>
  <si>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</si>
  <si>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</si>
  <si>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</si>
  <si>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</si>
  <si>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</si>
  <si>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</si>
  <si>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</si>
  <si>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</si>
  <si>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</si>
  <si>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</si>
  <si>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</si>
  <si>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</si>
  <si>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</si>
  <si>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</si>
  <si>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</si>
  <si>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</si>
  <si>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</si>
  <si>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</si>
  <si>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</si>
  <si>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</si>
  <si>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</si>
  <si>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</si>
  <si>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</si>
  <si>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</si>
  <si>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</si>
  <si>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</si>
  <si>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</si>
  <si>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</si>
  <si>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</si>
  <si>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</si>
  <si>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</si>
  <si>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</si>
  <si>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</si>
  <si>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</si>
  <si>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</si>
  <si>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</si>
  <si>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</si>
  <si>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</si>
  <si>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</si>
  <si>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</si>
  <si>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</si>
  <si>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</si>
  <si>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</si>
  <si>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</si>
  <si>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</si>
  <si>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</si>
  <si>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</si>
  <si>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</si>
  <si>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</si>
  <si>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</si>
  <si>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</si>
  <si>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</si>
  <si>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</si>
  <si>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</si>
  <si>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</si>
  <si>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</si>
  <si>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</si>
  <si>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</si>
  <si>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</si>
  <si>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</si>
  <si>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</si>
  <si>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</si>
  <si>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</si>
  <si>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</si>
  <si>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</si>
  <si>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</si>
  <si>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</si>
  <si>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</si>
  <si>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</si>
  <si>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</si>
  <si>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</si>
  <si>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</si>
  <si>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</si>
  <si>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</si>
  <si>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</si>
  <si>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</si>
  <si>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</si>
  <si>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</si>
  <si>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</si>
  <si>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</si>
  <si>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</si>
  <si>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</si>
  <si>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</si>
  <si>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</si>
  <si>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</si>
  <si>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</si>
  <si>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</si>
  <si>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</si>
  <si>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</si>
  <si>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</si>
  <si>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</si>
  <si>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</si>
  <si>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</si>
  <si>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</si>
  <si>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</si>
  <si>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</si>
  <si>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</si>
  <si>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</si>
  <si>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</si>
  <si>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</si>
  <si>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</si>
  <si>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</si>
  <si>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</si>
  <si>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</si>
  <si>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</si>
  <si>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</si>
  <si>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</si>
  <si>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</si>
  <si>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</si>
  <si>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</si>
  <si>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</si>
  <si>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</si>
  <si>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</si>
  <si>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</si>
  <si>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</si>
  <si>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</si>
  <si>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</si>
  <si>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</si>
  <si>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</si>
  <si>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</si>
  <si>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</si>
  <si>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</si>
  <si>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</si>
  <si>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</si>
  <si>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</si>
  <si>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</si>
  <si>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</si>
  <si>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</si>
  <si>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</si>
  <si>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</si>
  <si>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</si>
  <si>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</si>
  <si>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</si>
  <si>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</si>
  <si>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</si>
  <si>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</si>
  <si>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</si>
  <si>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</si>
  <si>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</si>
  <si>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</si>
  <si>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</si>
  <si>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</si>
  <si>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</si>
  <si>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</si>
  <si>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</si>
  <si>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</si>
  <si>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</si>
  <si>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</si>
  <si>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</si>
  <si>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</si>
  <si>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</si>
  <si>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</si>
  <si>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</si>
  <si>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</si>
  <si>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</si>
  <si>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</si>
  <si>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</si>
  <si>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</si>
  <si>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</si>
  <si>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</si>
  <si>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</si>
  <si>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</si>
  <si>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</si>
  <si>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</si>
  <si>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</si>
  <si>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</si>
  <si>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</si>
  <si>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</si>
  <si>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</si>
  <si>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</si>
  <si>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</si>
  <si>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</si>
  <si>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</si>
  <si>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</si>
  <si>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</si>
  <si>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</si>
  <si>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</si>
  <si>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</si>
  <si>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</si>
  <si>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</si>
  <si>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</si>
  <si>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</si>
  <si>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</si>
  <si>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</si>
  <si>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</si>
  <si>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</si>
  <si>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</si>
  <si>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</si>
  <si>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</si>
  <si>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</si>
  <si>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</si>
  <si>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</si>
  <si>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</si>
  <si>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</si>
  <si>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</si>
  <si>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</si>
  <si>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</si>
  <si>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</si>
  <si>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</si>
  <si>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</si>
  <si>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</si>
  <si>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</si>
  <si>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</si>
  <si>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</si>
  <si>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</si>
  <si>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</si>
  <si>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</si>
  <si>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</si>
  <si>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</si>
  <si>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</si>
  <si>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</si>
  <si>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</si>
  <si>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</si>
  <si>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</si>
  <si>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</si>
  <si>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</si>
  <si>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</si>
  <si>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</si>
  <si>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</si>
  <si>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</si>
  <si>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</si>
  <si>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</si>
  <si>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</si>
  <si>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</si>
  <si>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</si>
  <si>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</si>
  <si>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</si>
  <si>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</si>
  <si>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</si>
  <si>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</si>
  <si>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</si>
  <si>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</si>
  <si>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</si>
  <si>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</si>
  <si>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</si>
  <si>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</si>
  <si>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</si>
  <si>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</si>
  <si>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</si>
  <si>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</si>
  <si>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</si>
  <si>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</si>
  <si>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</si>
  <si>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</si>
  <si>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</si>
  <si>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</si>
  <si>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</si>
  <si>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</si>
  <si>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</si>
  <si>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</si>
  <si>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</si>
  <si>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</si>
  <si>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</si>
  <si>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</si>
  <si>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</si>
  <si>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</si>
  <si>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</si>
  <si>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</si>
  <si>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</si>
  <si>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</si>
  <si>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</si>
  <si>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</si>
  <si>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</si>
  <si>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</si>
  <si>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</si>
  <si>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</si>
  <si>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</si>
  <si>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</si>
  <si>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</si>
  <si>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</si>
  <si>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</si>
  <si>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</si>
  <si>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</si>
  <si>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</si>
  <si>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</si>
  <si>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</si>
  <si>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</si>
  <si>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</si>
  <si>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</si>
  <si>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</si>
  <si>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</si>
  <si>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</si>
  <si>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</si>
  <si>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</si>
  <si>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</si>
  <si>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</si>
  <si>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</si>
  <si>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</si>
  <si>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</si>
  <si>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</si>
  <si>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JOHN STARK SCHOOL DISTRICT</t>
  </si>
  <si>
    <t>PRIOR YEAR PAYABLES NOT PAID</t>
  </si>
  <si>
    <t>PRIOR YR STUDENT PREPAYS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</si>
</sst>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275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623824.17000000004</v>
      </c>
      <c r="G9" s="18">
        <v>47560.54</v>
      </c>
      <c r="H9" s="18">
        <v>-16158.83</v>
      </c>
      <c r="I9" s="18">
        <v>0</v>
      </c>
      <c r="J9" s="67">
        <f>SUM(I438)</f>
        <v>319566.23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14040.43</v>
      </c>
      <c r="H13" s="18">
        <v>16158.83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30607.02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654431.19000000006</v>
      </c>
      <c r="G19" s="41">
        <f>SUM(G9:G18)</f>
        <v>61600.97</v>
      </c>
      <c r="H19" s="41">
        <f>SUM(H9:H18)</f>
        <v>0</v>
      </c>
      <c r="I19" s="41">
        <f>SUM(I9:I18)</f>
        <v>0</v>
      </c>
      <c r="J19" s="41">
        <f>SUM(J9:J18)</f>
        <v>319566.23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2328.35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484.03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19248.830000000002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1296.56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728.85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23357.770000000004</v>
      </c>
      <c r="G32" s="41">
        <f>SUM(G22:G31)</f>
        <v>728.85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140000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60872.12</v>
      </c>
      <c r="H47" s="18">
        <v>0</v>
      </c>
      <c r="I47" s="18">
        <v>0</v>
      </c>
      <c r="J47" s="13">
        <f>SUM(I458)</f>
        <v>319566.23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/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491073.42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631073.41999999993</v>
      </c>
      <c r="G50" s="41">
        <f>SUM(G35:G49)</f>
        <v>60872.12</v>
      </c>
      <c r="H50" s="41">
        <f>SUM(H35:H49)</f>
        <v>0</v>
      </c>
      <c r="I50" s="41">
        <f>SUM(I35:I49)</f>
        <v>0</v>
      </c>
      <c r="J50" s="41">
        <f>SUM(J35:J49)</f>
        <v>319566.23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654431.18999999994</v>
      </c>
      <c r="G51" s="41">
        <f>G50+G32</f>
        <v>61600.97</v>
      </c>
      <c r="H51" s="41">
        <f>H50+H32</f>
        <v>0</v>
      </c>
      <c r="I51" s="41">
        <f>I50+I32</f>
        <v>0</v>
      </c>
      <c r="J51" s="41">
        <f>J50+J32</f>
        <v>319566.23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7121554</v>
      </c>
      <c r="G56" s="18">
        <v>1194</v>
      </c>
      <c r="H56" s="18">
        <v>0</v>
      </c>
      <c r="I56" s="18">
        <v>0</v>
      </c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7121554</v>
      </c>
      <c r="G59" s="41">
        <f>SUM(G56:G58)</f>
        <v>1194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635.84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30479.02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31114.86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371.74</v>
      </c>
      <c r="G95" s="18">
        <v>0</v>
      </c>
      <c r="H95" s="18"/>
      <c r="I95" s="18"/>
      <c r="J95" s="18">
        <v>84.43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211867.54</f>
        <v>211867.54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125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1399.09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11870.3</v>
      </c>
      <c r="G109" s="18">
        <v>3556.25</v>
      </c>
      <c r="H109" s="18">
        <v>0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13766.13</v>
      </c>
      <c r="G110" s="41">
        <f>SUM(G95:G109)</f>
        <v>215423.79</v>
      </c>
      <c r="H110" s="41">
        <f>SUM(H95:H109)</f>
        <v>0</v>
      </c>
      <c r="I110" s="41">
        <f>SUM(I95:I109)</f>
        <v>0</v>
      </c>
      <c r="J110" s="41">
        <f>SUM(J95:J109)</f>
        <v>84.43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7166434.9900000002</v>
      </c>
      <c r="G111" s="41">
        <f>G59+G110</f>
        <v>216617.79</v>
      </c>
      <c r="H111" s="41">
        <f>H59+H78+H93+H110</f>
        <v>0</v>
      </c>
      <c r="I111" s="41">
        <f>I59+I110</f>
        <v>0</v>
      </c>
      <c r="J111" s="41">
        <f>J59+J110</f>
        <v>84.43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3831202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1040962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4872164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367103.11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11847.64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2605.37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378950.75</v>
      </c>
      <c r="G135" s="41">
        <f>SUM(G122:G134)</f>
        <v>2605.37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5251114.75</v>
      </c>
      <c r="G139" s="41">
        <f>G120+SUM(G135:G136)</f>
        <v>2605.37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7710.64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14103.41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71162.09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141920.32999999999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141920.32999999999</v>
      </c>
      <c r="G161" s="41">
        <f>SUM(G149:G160)</f>
        <v>71162.09</v>
      </c>
      <c r="H161" s="41">
        <f>SUM(H149:H160)</f>
        <v>21814.05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141920.32999999999</v>
      </c>
      <c r="G168" s="41">
        <f>G146+G161+SUM(G162:G167)</f>
        <v>71162.09</v>
      </c>
      <c r="H168" s="41">
        <f>H146+H161+SUM(H162:H167)</f>
        <v>21814.05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12559470.07</v>
      </c>
      <c r="G192" s="47">
        <f>G111+G139+G168+G191</f>
        <v>290385.25</v>
      </c>
      <c r="H192" s="47">
        <f>H111+H139+H168+H191</f>
        <v>21814.05</v>
      </c>
      <c r="I192" s="47">
        <f>I111+I139+I168+I191</f>
        <v>0</v>
      </c>
      <c r="J192" s="47">
        <f>J111+J139+J191</f>
        <v>100084.43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3345869.52</v>
      </c>
      <c r="G232" s="18">
        <v>1377481.04</v>
      </c>
      <c r="H232" s="18">
        <v>27470.5</v>
      </c>
      <c r="I232" s="18">
        <v>164651.63</v>
      </c>
      <c r="J232" s="18">
        <v>48141.29</v>
      </c>
      <c r="K232" s="18">
        <v>2811.09</v>
      </c>
      <c r="L232" s="19">
        <f>SUM(F232:K232)</f>
        <v>4966425.07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1547360.82</v>
      </c>
      <c r="G233" s="18">
        <v>672988.61</v>
      </c>
      <c r="H233" s="18">
        <v>641439.14</v>
      </c>
      <c r="I233" s="18">
        <v>18910.79</v>
      </c>
      <c r="J233" s="18">
        <v>420.18</v>
      </c>
      <c r="K233" s="18">
        <v>21557.23</v>
      </c>
      <c r="L233" s="19">
        <f>SUM(F233:K233)</f>
        <v>2902676.7700000005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59798.559999999998</v>
      </c>
      <c r="I234" s="18">
        <v>0</v>
      </c>
      <c r="J234" s="18">
        <v>0</v>
      </c>
      <c r="K234" s="18">
        <v>0</v>
      </c>
      <c r="L234" s="19">
        <f>SUM(F234:K234)</f>
        <v>59798.559999999998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311605.03000000003</v>
      </c>
      <c r="G235" s="18">
        <v>70400.67</v>
      </c>
      <c r="H235" s="18">
        <v>101272.26</v>
      </c>
      <c r="I235" s="18">
        <v>18537.78</v>
      </c>
      <c r="J235" s="18">
        <v>54469.17</v>
      </c>
      <c r="K235" s="18">
        <v>83339.16</v>
      </c>
      <c r="L235" s="19">
        <f>SUM(F235:K235)</f>
        <v>639624.07000000007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538301.6</v>
      </c>
      <c r="G237" s="18">
        <v>217327.8</v>
      </c>
      <c r="H237" s="18">
        <v>56351.1</v>
      </c>
      <c r="I237" s="18">
        <v>5523.93</v>
      </c>
      <c r="J237" s="18">
        <v>0</v>
      </c>
      <c r="K237" s="18">
        <v>0</v>
      </c>
      <c r="L237" s="19">
        <f t="shared" ref="L237:L243" si="4">SUM(F237:K237)</f>
        <v>817504.42999999993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166704.72</v>
      </c>
      <c r="G238" s="18">
        <v>82504.820000000007</v>
      </c>
      <c r="H238" s="18">
        <v>42680.75</v>
      </c>
      <c r="I238" s="18">
        <v>48570.23</v>
      </c>
      <c r="J238" s="18">
        <v>103153.21</v>
      </c>
      <c r="K238" s="18">
        <v>37587.9</v>
      </c>
      <c r="L238" s="19">
        <f t="shared" si="4"/>
        <v>481201.63000000006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5000</v>
      </c>
      <c r="G239" s="18">
        <v>18326.5</v>
      </c>
      <c r="H239" s="18">
        <v>417584.92</v>
      </c>
      <c r="I239" s="18">
        <v>4752</v>
      </c>
      <c r="J239" s="18">
        <v>0</v>
      </c>
      <c r="K239" s="18">
        <v>9156.14</v>
      </c>
      <c r="L239" s="19">
        <f t="shared" si="4"/>
        <v>454819.56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358946.06</v>
      </c>
      <c r="G240" s="18">
        <v>161181.54999999999</v>
      </c>
      <c r="H240" s="18">
        <v>28289.1</v>
      </c>
      <c r="I240" s="18">
        <v>1836.62</v>
      </c>
      <c r="J240" s="18">
        <v>0</v>
      </c>
      <c r="K240" s="18">
        <v>23661.3</v>
      </c>
      <c r="L240" s="19">
        <f t="shared" si="4"/>
        <v>573914.63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318298.17</v>
      </c>
      <c r="G242" s="18">
        <v>140208.93</v>
      </c>
      <c r="H242" s="18">
        <v>382147.24</v>
      </c>
      <c r="I242" s="18">
        <v>266633.03000000003</v>
      </c>
      <c r="J242" s="18">
        <v>84400</v>
      </c>
      <c r="K242" s="18">
        <v>50</v>
      </c>
      <c r="L242" s="19">
        <f t="shared" si="4"/>
        <v>1191737.3700000001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557373.21</v>
      </c>
      <c r="I243" s="18">
        <v>0</v>
      </c>
      <c r="J243" s="18">
        <v>0</v>
      </c>
      <c r="K243" s="18">
        <v>0</v>
      </c>
      <c r="L243" s="19">
        <f t="shared" si="4"/>
        <v>557373.21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6592085.919999999</v>
      </c>
      <c r="G246" s="41">
        <f t="shared" si="5"/>
        <v>2740419.9199999995</v>
      </c>
      <c r="H246" s="41">
        <f t="shared" si="5"/>
        <v>2314406.7800000003</v>
      </c>
      <c r="I246" s="41">
        <f t="shared" si="5"/>
        <v>529416.01</v>
      </c>
      <c r="J246" s="41">
        <f t="shared" si="5"/>
        <v>290583.84999999998</v>
      </c>
      <c r="K246" s="41">
        <f t="shared" si="5"/>
        <v>178162.82</v>
      </c>
      <c r="L246" s="41">
        <f t="shared" si="5"/>
        <v>12645075.300000004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0</v>
      </c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6592085.919999999</v>
      </c>
      <c r="G256" s="41">
        <f t="shared" si="8"/>
        <v>2740419.9199999995</v>
      </c>
      <c r="H256" s="41">
        <f t="shared" si="8"/>
        <v>2314406.7800000003</v>
      </c>
      <c r="I256" s="41">
        <f t="shared" si="8"/>
        <v>529416.01</v>
      </c>
      <c r="J256" s="41">
        <f t="shared" si="8"/>
        <v>290583.84999999998</v>
      </c>
      <c r="K256" s="41">
        <f t="shared" si="8"/>
        <v>178162.82</v>
      </c>
      <c r="L256" s="41">
        <f t="shared" si="8"/>
        <v>12645075.300000004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100000</v>
      </c>
      <c r="L269" s="41">
        <f t="shared" si="9"/>
        <v>100000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6592085.919999999</v>
      </c>
      <c r="G270" s="42">
        <f t="shared" si="11"/>
        <v>2740419.9199999995</v>
      </c>
      <c r="H270" s="42">
        <f t="shared" si="11"/>
        <v>2314406.7800000003</v>
      </c>
      <c r="I270" s="42">
        <f t="shared" si="11"/>
        <v>529416.01</v>
      </c>
      <c r="J270" s="42">
        <f t="shared" si="11"/>
        <v>290583.84999999998</v>
      </c>
      <c r="K270" s="42">
        <f t="shared" si="11"/>
        <v>278162.82</v>
      </c>
      <c r="L270" s="42">
        <f t="shared" si="11"/>
        <v>12745075.300000004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115.59</v>
      </c>
      <c r="J313" s="18">
        <v>0</v>
      </c>
      <c r="K313" s="18">
        <v>0</v>
      </c>
      <c r="L313" s="19">
        <f>SUM(F313:K313)</f>
        <v>115.59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5810</v>
      </c>
      <c r="G319" s="18">
        <v>939.01</v>
      </c>
      <c r="H319" s="18">
        <v>13520.91</v>
      </c>
      <c r="I319" s="18">
        <v>1000</v>
      </c>
      <c r="J319" s="18">
        <v>0</v>
      </c>
      <c r="K319" s="18">
        <v>0</v>
      </c>
      <c r="L319" s="19">
        <f t="shared" si="16"/>
        <v>21269.919999999998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544.13</v>
      </c>
      <c r="L320" s="19">
        <f t="shared" si="16"/>
        <v>544.13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5810</v>
      </c>
      <c r="G327" s="42">
        <f t="shared" si="17"/>
        <v>939.01</v>
      </c>
      <c r="H327" s="42">
        <f t="shared" si="17"/>
        <v>13520.91</v>
      </c>
      <c r="I327" s="42">
        <f t="shared" si="17"/>
        <v>1115.5899999999999</v>
      </c>
      <c r="J327" s="42">
        <f t="shared" si="17"/>
        <v>0</v>
      </c>
      <c r="K327" s="42">
        <f t="shared" si="17"/>
        <v>544.13</v>
      </c>
      <c r="L327" s="41">
        <f t="shared" si="17"/>
        <v>21929.64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5810</v>
      </c>
      <c r="G337" s="41">
        <f t="shared" si="20"/>
        <v>939.01</v>
      </c>
      <c r="H337" s="41">
        <f t="shared" si="20"/>
        <v>13520.91</v>
      </c>
      <c r="I337" s="41">
        <f t="shared" si="20"/>
        <v>1115.5899999999999</v>
      </c>
      <c r="J337" s="41">
        <f t="shared" si="20"/>
        <v>0</v>
      </c>
      <c r="K337" s="41">
        <f t="shared" si="20"/>
        <v>544.13</v>
      </c>
      <c r="L337" s="41">
        <f t="shared" si="20"/>
        <v>21929.64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5810</v>
      </c>
      <c r="G351" s="41">
        <f>G337</f>
        <v>939.01</v>
      </c>
      <c r="H351" s="41">
        <f>H337</f>
        <v>13520.91</v>
      </c>
      <c r="I351" s="41">
        <f>I337</f>
        <v>1115.5899999999999</v>
      </c>
      <c r="J351" s="41">
        <f>J337</f>
        <v>0</v>
      </c>
      <c r="K351" s="47">
        <f>K337+K350</f>
        <v>544.13</v>
      </c>
      <c r="L351" s="41">
        <f>L337+L350</f>
        <v>21929.64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92577.24</v>
      </c>
      <c r="G359" s="18">
        <v>32793.620000000003</v>
      </c>
      <c r="H359" s="18">
        <v>604.48</v>
      </c>
      <c r="I359" s="18">
        <v>157523.78</v>
      </c>
      <c r="J359" s="18">
        <v>0</v>
      </c>
      <c r="K359" s="18">
        <v>4572.5600000000004</v>
      </c>
      <c r="L359" s="19">
        <f>SUM(F359:K359)</f>
        <v>288071.67999999999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92577.24</v>
      </c>
      <c r="G361" s="47">
        <f t="shared" si="22"/>
        <v>32793.620000000003</v>
      </c>
      <c r="H361" s="47">
        <f t="shared" si="22"/>
        <v>604.48</v>
      </c>
      <c r="I361" s="47">
        <f t="shared" si="22"/>
        <v>157523.78</v>
      </c>
      <c r="J361" s="47">
        <f t="shared" si="22"/>
        <v>0</v>
      </c>
      <c r="K361" s="47">
        <f t="shared" si="22"/>
        <v>4572.5600000000004</v>
      </c>
      <c r="L361" s="47">
        <f t="shared" si="22"/>
        <v>288071.67999999999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v>126316.94</v>
      </c>
      <c r="I366" s="56">
        <f>SUM(F366:H366)</f>
        <v>126316.94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31206.84</v>
      </c>
      <c r="I367" s="56">
        <f>SUM(F367:H367)</f>
        <v>31206.84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157523.78</v>
      </c>
      <c r="I368" s="47">
        <f>SUM(I366:I367)</f>
        <v>157523.78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17.850000000000001</v>
      </c>
      <c r="I388" s="18"/>
      <c r="J388" s="24" t="s">
        <v>289</v>
      </c>
      <c r="K388" s="24" t="s">
        <v>289</v>
      </c>
      <c r="L388" s="56">
        <f t="shared" si="25"/>
        <v>17.850000000000001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17.850000000000001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17.850000000000001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60000</v>
      </c>
      <c r="H395" s="18">
        <v>57.87</v>
      </c>
      <c r="I395" s="18"/>
      <c r="J395" s="24" t="s">
        <v>289</v>
      </c>
      <c r="K395" s="24" t="s">
        <v>289</v>
      </c>
      <c r="L395" s="56">
        <f t="shared" si="26"/>
        <v>60057.87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40000</v>
      </c>
      <c r="H396" s="18">
        <v>8.7100000000000009</v>
      </c>
      <c r="I396" s="18"/>
      <c r="J396" s="24" t="s">
        <v>289</v>
      </c>
      <c r="K396" s="24" t="s">
        <v>289</v>
      </c>
      <c r="L396" s="56">
        <f t="shared" si="26"/>
        <v>40008.71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0</v>
      </c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66.58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100066.58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>
        <v>0</v>
      </c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84.43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100084.43000000001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0</v>
      </c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319566.23</v>
      </c>
      <c r="H438" s="18"/>
      <c r="I438" s="56">
        <f t="shared" ref="I438:I444" si="33">SUM(F438:H438)</f>
        <v>319566.23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319566.23</v>
      </c>
      <c r="H445" s="13">
        <f>SUM(H438:H444)</f>
        <v>0</v>
      </c>
      <c r="I445" s="13">
        <f>SUM(I438:I444)</f>
        <v>319566.23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319566.23</v>
      </c>
      <c r="H458" s="18"/>
      <c r="I458" s="56">
        <f t="shared" si="34"/>
        <v>319566.23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319566.23</v>
      </c>
      <c r="H459" s="83">
        <f>SUM(H453:H458)</f>
        <v>0</v>
      </c>
      <c r="I459" s="83">
        <f>SUM(I453:I458)</f>
        <v>319566.23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319566.23</v>
      </c>
      <c r="H460" s="42">
        <f>H451+H459</f>
        <v>0</v>
      </c>
      <c r="I460" s="42">
        <f>I451+I459</f>
        <v>319566.23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807238.16</v>
      </c>
      <c r="G464" s="18">
        <v>57580.66</v>
      </c>
      <c r="H464" s="18">
        <v>115.59</v>
      </c>
      <c r="I464" s="18">
        <v>0</v>
      </c>
      <c r="J464" s="18">
        <v>219481.8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12559470.07</v>
      </c>
      <c r="G467" s="18">
        <v>290385.25</v>
      </c>
      <c r="H467" s="18">
        <v>21814.05</v>
      </c>
      <c r="I467" s="18">
        <v>0</v>
      </c>
      <c r="J467" s="18">
        <v>100084.43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9440.49</v>
      </c>
      <c r="G468" s="18">
        <v>977.89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12568910.560000001</v>
      </c>
      <c r="G469" s="53">
        <f>SUM(G467:G468)</f>
        <v>291363.14</v>
      </c>
      <c r="H469" s="53">
        <f>SUM(H467:H468)</f>
        <v>21814.05</v>
      </c>
      <c r="I469" s="53">
        <f>SUM(I467:I468)</f>
        <v>0</v>
      </c>
      <c r="J469" s="53">
        <f>SUM(J467:J468)</f>
        <v>100084.43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12745075.300000001</v>
      </c>
      <c r="G471" s="18">
        <v>288071.67999999999</v>
      </c>
      <c r="H471" s="18">
        <v>21929.64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12745075.300000001</v>
      </c>
      <c r="G473" s="53">
        <f>SUM(G471:G472)</f>
        <v>288071.67999999999</v>
      </c>
      <c r="H473" s="53">
        <f>SUM(H471:H472)</f>
        <v>21929.64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631073.41999999993</v>
      </c>
      <c r="G475" s="53">
        <f>(G464+G469)- G473</f>
        <v>60872.120000000054</v>
      </c>
      <c r="H475" s="53">
        <f>(H464+H469)- H473</f>
        <v>0</v>
      </c>
      <c r="I475" s="53">
        <f>(I464+I469)- I473</f>
        <v>0</v>
      </c>
      <c r="J475" s="53">
        <f>(J464+J469)- J473</f>
        <v>319566.23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 t="s">
        <v>911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1547360.82</v>
      </c>
      <c r="G522" s="18">
        <v>672988.61</v>
      </c>
      <c r="H522" s="18">
        <v>641439.14</v>
      </c>
      <c r="I522" s="18">
        <v>18910.79</v>
      </c>
      <c r="J522" s="18">
        <v>420.18</v>
      </c>
      <c r="K522" s="18">
        <v>21557.23</v>
      </c>
      <c r="L522" s="88">
        <f>SUM(F522:K522)</f>
        <v>2902676.7700000005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1547360.82</v>
      </c>
      <c r="G523" s="108">
        <f t="shared" ref="G523:L523" si="36">SUM(G520:G522)</f>
        <v>672988.61</v>
      </c>
      <c r="H523" s="108">
        <f t="shared" si="36"/>
        <v>641439.14</v>
      </c>
      <c r="I523" s="108">
        <f t="shared" si="36"/>
        <v>18910.79</v>
      </c>
      <c r="J523" s="108">
        <f t="shared" si="36"/>
        <v>420.18</v>
      </c>
      <c r="K523" s="108">
        <f t="shared" si="36"/>
        <v>21557.23</v>
      </c>
      <c r="L523" s="89">
        <f t="shared" si="36"/>
        <v>2902676.7700000005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84021.4</v>
      </c>
      <c r="G527" s="18">
        <v>35466.370000000003</v>
      </c>
      <c r="H527" s="18">
        <v>45169.3</v>
      </c>
      <c r="I527" s="18">
        <v>0</v>
      </c>
      <c r="J527" s="18">
        <v>0</v>
      </c>
      <c r="K527" s="18">
        <v>0</v>
      </c>
      <c r="L527" s="88">
        <f>SUM(F527:K527)</f>
        <v>164657.07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84021.4</v>
      </c>
      <c r="G528" s="89">
        <f t="shared" ref="G528:L528" si="37">SUM(G525:G527)</f>
        <v>35466.370000000003</v>
      </c>
      <c r="H528" s="89">
        <f t="shared" si="37"/>
        <v>45169.3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164657.07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34714.04</v>
      </c>
      <c r="G532" s="18">
        <v>14825.6</v>
      </c>
      <c r="H532" s="18">
        <v>78.28</v>
      </c>
      <c r="I532" s="18"/>
      <c r="J532" s="18"/>
      <c r="K532" s="18">
        <v>325.05</v>
      </c>
      <c r="L532" s="88">
        <f>SUM(F532:K532)</f>
        <v>49942.97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34714.04</v>
      </c>
      <c r="G533" s="89">
        <f t="shared" ref="G533:L533" si="38">SUM(G530:G532)</f>
        <v>14825.6</v>
      </c>
      <c r="H533" s="89">
        <f t="shared" si="38"/>
        <v>78.28</v>
      </c>
      <c r="I533" s="89">
        <f t="shared" si="38"/>
        <v>0</v>
      </c>
      <c r="J533" s="89">
        <f t="shared" si="38"/>
        <v>0</v>
      </c>
      <c r="K533" s="89">
        <f t="shared" si="38"/>
        <v>325.05</v>
      </c>
      <c r="L533" s="89">
        <f t="shared" si="38"/>
        <v>49942.97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1040</v>
      </c>
      <c r="I537" s="18"/>
      <c r="J537" s="18"/>
      <c r="K537" s="18"/>
      <c r="L537" s="88">
        <f>SUM(F537:K537)</f>
        <v>1040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1040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1040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293754.77</v>
      </c>
      <c r="I542" s="18"/>
      <c r="J542" s="18"/>
      <c r="K542" s="18"/>
      <c r="L542" s="88">
        <f>SUM(F542:K542)</f>
        <v>293754.77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293754.77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293754.77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1666096.26</v>
      </c>
      <c r="G544" s="89">
        <f t="shared" ref="G544:L544" si="41">G523+G528+G533+G538+G543</f>
        <v>723280.58</v>
      </c>
      <c r="H544" s="89">
        <f t="shared" si="41"/>
        <v>981481.49000000011</v>
      </c>
      <c r="I544" s="89">
        <f t="shared" si="41"/>
        <v>18910.79</v>
      </c>
      <c r="J544" s="89">
        <f t="shared" si="41"/>
        <v>420.18</v>
      </c>
      <c r="K544" s="89">
        <f t="shared" si="41"/>
        <v>21882.28</v>
      </c>
      <c r="L544" s="89">
        <f t="shared" si="41"/>
        <v>3412071.5800000005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2902676.7700000005</v>
      </c>
      <c r="G550" s="87">
        <f>L527</f>
        <v>164657.07</v>
      </c>
      <c r="H550" s="87">
        <f>L532</f>
        <v>49942.97</v>
      </c>
      <c r="I550" s="87">
        <f>L537</f>
        <v>1040</v>
      </c>
      <c r="J550" s="87">
        <f>L542</f>
        <v>293754.77</v>
      </c>
      <c r="K550" s="87">
        <f>SUM(F550:J550)</f>
        <v>3412071.5800000005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2902676.7700000005</v>
      </c>
      <c r="G551" s="89">
        <f t="shared" si="42"/>
        <v>164657.07</v>
      </c>
      <c r="H551" s="89">
        <f t="shared" si="42"/>
        <v>49942.97</v>
      </c>
      <c r="I551" s="89">
        <f t="shared" si="42"/>
        <v>1040</v>
      </c>
      <c r="J551" s="89">
        <f t="shared" si="42"/>
        <v>293754.77</v>
      </c>
      <c r="K551" s="89">
        <f t="shared" si="42"/>
        <v>3412071.5800000005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122.5</v>
      </c>
      <c r="G563" s="18">
        <v>9.3800000000000008</v>
      </c>
      <c r="H563" s="18">
        <v>426.3</v>
      </c>
      <c r="I563" s="18">
        <v>0</v>
      </c>
      <c r="J563" s="18">
        <v>0</v>
      </c>
      <c r="K563" s="18">
        <v>0</v>
      </c>
      <c r="L563" s="88">
        <f>SUM(F563:K563)</f>
        <v>558.18000000000006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122.5</v>
      </c>
      <c r="G564" s="89">
        <f t="shared" si="44"/>
        <v>9.3800000000000008</v>
      </c>
      <c r="H564" s="89">
        <f t="shared" si="44"/>
        <v>426.3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558.18000000000006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122.5</v>
      </c>
      <c r="G570" s="89">
        <f t="shared" ref="G570:L570" si="46">G559+G564+G569</f>
        <v>9.3800000000000008</v>
      </c>
      <c r="H570" s="89">
        <f t="shared" si="46"/>
        <v>426.3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558.18000000000006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11101.2</v>
      </c>
      <c r="I578" s="87">
        <f t="shared" si="47"/>
        <v>11101.2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348036.97</v>
      </c>
      <c r="I581" s="87">
        <f t="shared" si="47"/>
        <v>348036.97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173461.59</v>
      </c>
      <c r="I582" s="87">
        <f t="shared" si="47"/>
        <v>173461.59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59798.559999999998</v>
      </c>
      <c r="I583" s="87">
        <f t="shared" si="47"/>
        <v>59798.559999999998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114558.28</v>
      </c>
      <c r="K590" s="104">
        <f t="shared" ref="K590:K596" si="48">SUM(H590:J590)</f>
        <v>114558.28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293754.77</v>
      </c>
      <c r="K591" s="104">
        <f t="shared" si="48"/>
        <v>293754.77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31275</v>
      </c>
      <c r="K592" s="104">
        <f t="shared" si="48"/>
        <v>31275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77037.72</v>
      </c>
      <c r="K593" s="104">
        <f t="shared" si="48"/>
        <v>77037.72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40747.440000000002</v>
      </c>
      <c r="K594" s="104">
        <f t="shared" si="48"/>
        <v>40747.440000000002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557373.21</v>
      </c>
      <c r="K597" s="108">
        <f>SUM(K590:K596)</f>
        <v>557373.21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v>290583.84999999998</v>
      </c>
      <c r="K603" s="104">
        <f>SUM(H603:J603)</f>
        <v>290583.84999999998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290583.84999999998</v>
      </c>
      <c r="K604" s="108">
        <f>SUM(K601:K603)</f>
        <v>290583.84999999998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37274.85</v>
      </c>
      <c r="G612" s="18">
        <v>6603.54</v>
      </c>
      <c r="H612" s="18">
        <v>0</v>
      </c>
      <c r="I612" s="18">
        <v>0</v>
      </c>
      <c r="J612" s="18">
        <v>0</v>
      </c>
      <c r="K612" s="18">
        <v>1860</v>
      </c>
      <c r="L612" s="88">
        <f>SUM(F612:K612)</f>
        <v>45738.39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37274.85</v>
      </c>
      <c r="G613" s="108">
        <f t="shared" si="49"/>
        <v>6603.54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1860</v>
      </c>
      <c r="L613" s="89">
        <f t="shared" si="49"/>
        <v>45738.39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654431.19000000006</v>
      </c>
      <c r="H616" s="109">
        <f>SUM(F51)</f>
        <v>654431.18999999994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61600.97</v>
      </c>
      <c r="H617" s="109">
        <f>SUM(G51)</f>
        <v>61600.97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319566.23</v>
      </c>
      <c r="H620" s="109">
        <f>SUM(J51)</f>
        <v>319566.23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631073.41999999993</v>
      </c>
      <c r="H621" s="109">
        <f>F475</f>
        <v>631073.41999999993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60872.12</v>
      </c>
      <c r="H622" s="109">
        <f>G475</f>
        <v>60872.120000000054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319566.23</v>
      </c>
      <c r="H625" s="109">
        <f>J475</f>
        <v>319566.23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12559470.07</v>
      </c>
      <c r="H626" s="104">
        <f>SUM(F467)</f>
        <v>12559470.07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290385.25</v>
      </c>
      <c r="H627" s="104">
        <f>SUM(G467)</f>
        <v>290385.25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21814.05</v>
      </c>
      <c r="H628" s="104">
        <f>SUM(H467)</f>
        <v>21814.05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100084.43</v>
      </c>
      <c r="H630" s="104">
        <f>SUM(J467)</f>
        <v>100084.43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12745075.300000004</v>
      </c>
      <c r="H631" s="104">
        <f>SUM(F471)</f>
        <v>12745075.300000001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21929.64</v>
      </c>
      <c r="H632" s="104">
        <f>SUM(H471)</f>
        <v>21929.64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157523.78</v>
      </c>
      <c r="H633" s="104">
        <f>I368</f>
        <v>157523.78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288071.67999999999</v>
      </c>
      <c r="H634" s="104">
        <f>SUM(G471)</f>
        <v>288071.67999999999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100084.43000000001</v>
      </c>
      <c r="H636" s="164">
        <f>SUM(J467)</f>
        <v>100084.43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319566.23</v>
      </c>
      <c r="H639" s="104">
        <f>SUM(G460)</f>
        <v>319566.23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319566.23</v>
      </c>
      <c r="H641" s="104">
        <f>SUM(I460)</f>
        <v>319566.23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84.43</v>
      </c>
      <c r="H643" s="104">
        <f>H407</f>
        <v>84.43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100084.43</v>
      </c>
      <c r="H645" s="104">
        <f>L407</f>
        <v>100084.43000000001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557373.21</v>
      </c>
      <c r="H646" s="104">
        <f>L207+L225+L243</f>
        <v>557373.21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290583.84999999998</v>
      </c>
      <c r="H647" s="104">
        <f>(J256+J337)-(J254+J335)</f>
        <v>290583.84999999998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557373.21</v>
      </c>
      <c r="H650" s="104">
        <f>J597</f>
        <v>557373.21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12955076.620000005</v>
      </c>
      <c r="I659" s="19">
        <f>SUM(F659:H659)</f>
        <v>12955076.620000005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215423.79</v>
      </c>
      <c r="I660" s="19">
        <f>SUM(F660:H660)</f>
        <v>215423.79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557373.21</v>
      </c>
      <c r="I661" s="19">
        <f>SUM(F661:H661)</f>
        <v>557373.21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0</v>
      </c>
      <c r="H662" s="199">
        <f>SUM(H574:H586)+SUM(J601:J603)+L612</f>
        <v>928720.56</v>
      </c>
      <c r="I662" s="19">
        <f>SUM(F662:H662)</f>
        <v>928720.56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11253559.060000004</v>
      </c>
      <c r="I663" s="19">
        <f>I659-SUM(I660:I662)</f>
        <v>11253559.060000004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>
        <v>723.82</v>
      </c>
      <c r="I664" s="19">
        <f>SUM(F664:H664)</f>
        <v>723.82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15547.46</v>
      </c>
      <c r="I666" s="19">
        <f>ROUND(I663/I664,2)</f>
        <v>15547.46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-11.04</v>
      </c>
      <c r="I669" s="19">
        <f>SUM(F669:H669)</f>
        <v>-11.04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15788.26</v>
      </c>
      <c r="I671" s="19">
        <f>ROUND((I663+I668)/(I664+I669),2)</f>
        <v>15788.26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JOHN STARK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3345869.52</v>
      </c>
      <c r="C9" s="229">
        <f>'DOE25'!G196+'DOE25'!G214+'DOE25'!G232+'DOE25'!G275+'DOE25'!G294+'DOE25'!G313</f>
        <v>1377481.04</v>
      </c>
    </row>
    <row r="10" spans="1:3" x14ac:dyDescent="0.2">
      <c r="A10" t="s">
        <v>779</v>
      </c>
      <c r="B10" s="240">
        <v>3265609.08</v>
      </c>
      <c r="C10" s="240">
        <v>1370712.51</v>
      </c>
    </row>
    <row r="11" spans="1:3" x14ac:dyDescent="0.2">
      <c r="A11" t="s">
        <v>780</v>
      </c>
      <c r="B11" s="240">
        <v>6394.59</v>
      </c>
      <c r="C11" s="240">
        <v>1072.74</v>
      </c>
    </row>
    <row r="12" spans="1:3" x14ac:dyDescent="0.2">
      <c r="A12" t="s">
        <v>781</v>
      </c>
      <c r="B12" s="240">
        <v>73865.850000000006</v>
      </c>
      <c r="C12" s="240">
        <v>5695.79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3345869.52</v>
      </c>
      <c r="C13" s="231">
        <f>SUM(C10:C12)</f>
        <v>1377481.04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1547360.82</v>
      </c>
      <c r="C18" s="229">
        <f>'DOE25'!G197+'DOE25'!G215+'DOE25'!G233+'DOE25'!G276+'DOE25'!G295+'DOE25'!G314</f>
        <v>672988.61</v>
      </c>
    </row>
    <row r="19" spans="1:3" x14ac:dyDescent="0.2">
      <c r="A19" t="s">
        <v>779</v>
      </c>
      <c r="B19" s="240">
        <v>1003460.27</v>
      </c>
      <c r="C19" s="240">
        <v>592068.93000000005</v>
      </c>
    </row>
    <row r="20" spans="1:3" x14ac:dyDescent="0.2">
      <c r="A20" t="s">
        <v>780</v>
      </c>
      <c r="B20" s="240">
        <v>526102.15</v>
      </c>
      <c r="C20" s="240">
        <v>74357.3</v>
      </c>
    </row>
    <row r="21" spans="1:3" x14ac:dyDescent="0.2">
      <c r="A21" t="s">
        <v>781</v>
      </c>
      <c r="B21" s="240">
        <v>17798.400000000001</v>
      </c>
      <c r="C21" s="240">
        <v>6562.38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1547360.8199999998</v>
      </c>
      <c r="C22" s="231">
        <f>SUM(C19:C21)</f>
        <v>672988.6100000001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311605.03000000003</v>
      </c>
      <c r="C36" s="235">
        <f>'DOE25'!G199+'DOE25'!G217+'DOE25'!G235+'DOE25'!G278+'DOE25'!G297+'DOE25'!G316</f>
        <v>70400.67</v>
      </c>
    </row>
    <row r="37" spans="1:3" x14ac:dyDescent="0.2">
      <c r="A37" t="s">
        <v>779</v>
      </c>
      <c r="B37" s="240">
        <v>218002.4</v>
      </c>
      <c r="C37" s="240">
        <v>63360.6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93602.63</v>
      </c>
      <c r="C39" s="240">
        <v>7040.07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311605.03000000003</v>
      </c>
      <c r="C40" s="231">
        <f>SUM(C37:C39)</f>
        <v>70400.67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JOHN STARK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8568524.4700000007</v>
      </c>
      <c r="D5" s="20">
        <f>SUM('DOE25'!L196:L199)+SUM('DOE25'!L214:L217)+SUM('DOE25'!L232:L235)-F5-G5</f>
        <v>8357786.3499999996</v>
      </c>
      <c r="E5" s="243"/>
      <c r="F5" s="255">
        <f>SUM('DOE25'!J196:J199)+SUM('DOE25'!J214:J217)+SUM('DOE25'!J232:J235)</f>
        <v>103030.64</v>
      </c>
      <c r="G5" s="53">
        <f>SUM('DOE25'!K196:K199)+SUM('DOE25'!K214:K217)+SUM('DOE25'!K232:K235)</f>
        <v>107707.48000000001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817504.42999999993</v>
      </c>
      <c r="D6" s="20">
        <f>'DOE25'!L201+'DOE25'!L219+'DOE25'!L237-F6-G6</f>
        <v>817504.42999999993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481201.63000000006</v>
      </c>
      <c r="D7" s="20">
        <f>'DOE25'!L202+'DOE25'!L220+'DOE25'!L238-F7-G7</f>
        <v>340460.52</v>
      </c>
      <c r="E7" s="243"/>
      <c r="F7" s="255">
        <f>'DOE25'!J202+'DOE25'!J220+'DOE25'!J238</f>
        <v>103153.21</v>
      </c>
      <c r="G7" s="53">
        <f>'DOE25'!K202+'DOE25'!K220+'DOE25'!K238</f>
        <v>37587.9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292929.67</v>
      </c>
      <c r="D8" s="243"/>
      <c r="E8" s="20">
        <f>'DOE25'!L203+'DOE25'!L221+'DOE25'!L239-F8-G8-D9-D11</f>
        <v>283773.52999999997</v>
      </c>
      <c r="F8" s="255">
        <f>'DOE25'!J203+'DOE25'!J221+'DOE25'!J239</f>
        <v>0</v>
      </c>
      <c r="G8" s="53">
        <f>'DOE25'!K203+'DOE25'!K221+'DOE25'!K239</f>
        <v>9156.14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54015.19</v>
      </c>
      <c r="D9" s="244">
        <v>54015.19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7825</v>
      </c>
      <c r="D10" s="243"/>
      <c r="E10" s="244">
        <v>7825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107874.7</v>
      </c>
      <c r="D11" s="244">
        <v>107874.7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573914.63</v>
      </c>
      <c r="D12" s="20">
        <f>'DOE25'!L204+'DOE25'!L222+'DOE25'!L240-F12-G12</f>
        <v>550253.32999999996</v>
      </c>
      <c r="E12" s="243"/>
      <c r="F12" s="255">
        <f>'DOE25'!J204+'DOE25'!J222+'DOE25'!J240</f>
        <v>0</v>
      </c>
      <c r="G12" s="53">
        <f>'DOE25'!K204+'DOE25'!K222+'DOE25'!K240</f>
        <v>23661.3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1191737.3700000001</v>
      </c>
      <c r="D14" s="20">
        <f>'DOE25'!L206+'DOE25'!L224+'DOE25'!L242-F14-G14</f>
        <v>1107287.3700000001</v>
      </c>
      <c r="E14" s="243"/>
      <c r="F14" s="255">
        <f>'DOE25'!J206+'DOE25'!J224+'DOE25'!J242</f>
        <v>84400</v>
      </c>
      <c r="G14" s="53">
        <f>'DOE25'!K206+'DOE25'!K224+'DOE25'!K242</f>
        <v>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557373.21</v>
      </c>
      <c r="D15" s="20">
        <f>'DOE25'!L207+'DOE25'!L225+'DOE25'!L243-F15-G15</f>
        <v>557373.21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161754.74</v>
      </c>
      <c r="D29" s="20">
        <f>'DOE25'!L357+'DOE25'!L358+'DOE25'!L359-'DOE25'!I366-F29-G29</f>
        <v>157182.18</v>
      </c>
      <c r="E29" s="243"/>
      <c r="F29" s="255">
        <f>'DOE25'!J357+'DOE25'!J358+'DOE25'!J359</f>
        <v>0</v>
      </c>
      <c r="G29" s="53">
        <f>'DOE25'!K357+'DOE25'!K358+'DOE25'!K359</f>
        <v>4572.5600000000004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21929.64</v>
      </c>
      <c r="D31" s="20">
        <f>'DOE25'!L289+'DOE25'!L308+'DOE25'!L327+'DOE25'!L332+'DOE25'!L333+'DOE25'!L334-F31-G31</f>
        <v>21385.51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544.13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12071122.789999997</v>
      </c>
      <c r="E33" s="246">
        <f>SUM(E5:E31)</f>
        <v>291598.52999999997</v>
      </c>
      <c r="F33" s="246">
        <f>SUM(F5:F31)</f>
        <v>290583.84999999998</v>
      </c>
      <c r="G33" s="246">
        <f>SUM(G5:G31)</f>
        <v>183279.51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291598.52999999997</v>
      </c>
      <c r="E35" s="249"/>
    </row>
    <row r="36" spans="2:8" ht="12" thickTop="1" x14ac:dyDescent="0.2">
      <c r="B36" t="s">
        <v>815</v>
      </c>
      <c r="D36" s="20">
        <f>D33</f>
        <v>12071122.789999997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623824.17000000004</v>
      </c>
      <c r="D8" s="95">
        <f>'DOE25'!G9</f>
        <v>47560.54</v>
      </c>
      <c r="E8" s="95">
        <f>'DOE25'!H9</f>
        <v>-16158.83</v>
      </c>
      <c r="F8" s="95">
        <f>'DOE25'!I9</f>
        <v>0</v>
      </c>
      <c r="G8" s="95">
        <f>'DOE25'!J9</f>
        <v>319566.23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14040.43</v>
      </c>
      <c r="E12" s="95">
        <f>'DOE25'!H13</f>
        <v>16158.83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30607.02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654431.19000000006</v>
      </c>
      <c r="D18" s="41">
        <f>SUM(D8:D17)</f>
        <v>61600.97</v>
      </c>
      <c r="E18" s="41">
        <f>SUM(E8:E17)</f>
        <v>0</v>
      </c>
      <c r="F18" s="41">
        <f>SUM(F8:F17)</f>
        <v>0</v>
      </c>
      <c r="G18" s="41">
        <f>SUM(G8:G17)</f>
        <v>319566.23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2328.35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484.03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19248.830000000002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1296.56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728.85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23357.770000000004</v>
      </c>
      <c r="D31" s="41">
        <f>SUM(D21:D30)</f>
        <v>728.85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60872.12</v>
      </c>
      <c r="E46" s="95">
        <f>'DOE25'!H47</f>
        <v>0</v>
      </c>
      <c r="F46" s="95">
        <f>'DOE25'!I47</f>
        <v>0</v>
      </c>
      <c r="G46" s="95">
        <f>'DOE25'!J47</f>
        <v>319566.23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491073.42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631073.41999999993</v>
      </c>
      <c r="D49" s="41">
        <f>SUM(D34:D48)</f>
        <v>60872.12</v>
      </c>
      <c r="E49" s="41">
        <f>SUM(E34:E48)</f>
        <v>0</v>
      </c>
      <c r="F49" s="41">
        <f>SUM(F34:F48)</f>
        <v>0</v>
      </c>
      <c r="G49" s="41">
        <f>SUM(G34:G48)</f>
        <v>319566.23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654431.18999999994</v>
      </c>
      <c r="D50" s="41">
        <f>D49+D31</f>
        <v>61600.97</v>
      </c>
      <c r="E50" s="41">
        <f>E49+E31</f>
        <v>0</v>
      </c>
      <c r="F50" s="41">
        <f>F49+F31</f>
        <v>0</v>
      </c>
      <c r="G50" s="41">
        <f>G49+G31</f>
        <v>319566.23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7121554</v>
      </c>
      <c r="D55" s="95">
        <f>'DOE25'!G59</f>
        <v>1194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31114.86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371.74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84.43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211867.54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13394.39</v>
      </c>
      <c r="D60" s="95">
        <f>SUM('DOE25'!G97:G109)</f>
        <v>3556.25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44880.990000000005</v>
      </c>
      <c r="D61" s="130">
        <f>SUM(D56:D60)</f>
        <v>215423.79</v>
      </c>
      <c r="E61" s="130">
        <f>SUM(E56:E60)</f>
        <v>0</v>
      </c>
      <c r="F61" s="130">
        <f>SUM(F56:F60)</f>
        <v>0</v>
      </c>
      <c r="G61" s="130">
        <f>SUM(G56:G60)</f>
        <v>84.43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7166434.9900000002</v>
      </c>
      <c r="D62" s="22">
        <f>D55+D61</f>
        <v>216617.79</v>
      </c>
      <c r="E62" s="22">
        <f>E55+E61</f>
        <v>0</v>
      </c>
      <c r="F62" s="22">
        <f>F55+F61</f>
        <v>0</v>
      </c>
      <c r="G62" s="22">
        <f>G55+G61</f>
        <v>84.43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3831202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1040962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4872164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367103.11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11847.64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2605.37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378950.75</v>
      </c>
      <c r="D77" s="130">
        <f>SUM(D71:D76)</f>
        <v>2605.37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5251114.75</v>
      </c>
      <c r="D80" s="130">
        <f>SUM(D78:D79)+D77+D69</f>
        <v>2605.37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141920.32999999999</v>
      </c>
      <c r="D87" s="95">
        <f>SUM('DOE25'!G152:G160)</f>
        <v>71162.09</v>
      </c>
      <c r="E87" s="95">
        <f>SUM('DOE25'!H152:H160)</f>
        <v>21814.05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141920.32999999999</v>
      </c>
      <c r="D90" s="131">
        <f>SUM(D84:D89)</f>
        <v>71162.09</v>
      </c>
      <c r="E90" s="131">
        <f>SUM(E84:E89)</f>
        <v>21814.05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12559470.07</v>
      </c>
      <c r="D103" s="86">
        <f>D62+D80+D90+D102</f>
        <v>290385.25</v>
      </c>
      <c r="E103" s="86">
        <f>E62+E80+E90+E102</f>
        <v>21814.05</v>
      </c>
      <c r="F103" s="86">
        <f>F62+F80+F90+F102</f>
        <v>0</v>
      </c>
      <c r="G103" s="86">
        <f>G62+G80+G102</f>
        <v>100084.43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4966425.07</v>
      </c>
      <c r="D108" s="24" t="s">
        <v>289</v>
      </c>
      <c r="E108" s="95">
        <f>('DOE25'!L275)+('DOE25'!L294)+('DOE25'!L313)</f>
        <v>115.59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2902676.7700000005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59798.559999999998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639624.07000000007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8568524.4700000007</v>
      </c>
      <c r="D114" s="86">
        <f>SUM(D108:D113)</f>
        <v>0</v>
      </c>
      <c r="E114" s="86">
        <f>SUM(E108:E113)</f>
        <v>115.59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817504.42999999993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481201.63000000006</v>
      </c>
      <c r="D118" s="24" t="s">
        <v>289</v>
      </c>
      <c r="E118" s="95">
        <f>+('DOE25'!L281)+('DOE25'!L300)+('DOE25'!L319)</f>
        <v>21269.919999999998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454819.56</v>
      </c>
      <c r="D119" s="24" t="s">
        <v>289</v>
      </c>
      <c r="E119" s="95">
        <f>+('DOE25'!L282)+('DOE25'!L301)+('DOE25'!L320)</f>
        <v>544.13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573914.63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1191737.3700000001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557373.21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288071.67999999999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4076550.83</v>
      </c>
      <c r="D127" s="86">
        <f>SUM(D117:D126)</f>
        <v>288071.67999999999</v>
      </c>
      <c r="E127" s="86">
        <f>SUM(E117:E126)</f>
        <v>21814.05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17.850000000000001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100066.58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-84.430000000007567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12745075.300000001</v>
      </c>
      <c r="D144" s="86">
        <f>(D114+D127+D143)</f>
        <v>288071.67999999999</v>
      </c>
      <c r="E144" s="86">
        <f>(E114+E127+E143)</f>
        <v>21929.64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JOHN STARK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15788</v>
      </c>
    </row>
    <row r="7" spans="1:4" x14ac:dyDescent="0.2">
      <c r="B7" t="s">
        <v>705</v>
      </c>
      <c r="C7" s="179">
        <f>IF('DOE25'!I664+'DOE25'!I669=0,0,ROUND('DOE25'!I671,0))</f>
        <v>15788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4966541</v>
      </c>
      <c r="D10" s="182">
        <f>ROUND((C10/$C$28)*100,1)</f>
        <v>39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2902677</v>
      </c>
      <c r="D11" s="182">
        <f>ROUND((C11/$C$28)*100,1)</f>
        <v>22.8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59799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639624</v>
      </c>
      <c r="D13" s="182">
        <f>ROUND((C13/$C$28)*100,1)</f>
        <v>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817504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502472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455364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573915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1191737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557373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72648.209999999992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12739654.210000001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12739654.210000001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7122748</v>
      </c>
      <c r="D35" s="182">
        <f t="shared" ref="D35:D40" si="1">ROUND((C35/$C$41)*100,1)</f>
        <v>56.3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44965.419999999925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4872164</v>
      </c>
      <c r="D37" s="182">
        <f t="shared" si="1"/>
        <v>38.5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381556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234896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12656329.42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JOHN STARK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2013-09-17T14:10:08Z</cp:lastPrinted>
  <dcterms:created xsi:type="dcterms:W3CDTF">1997-12-04T19:04:30Z</dcterms:created>
  <dcterms:modified xsi:type="dcterms:W3CDTF">2013-12-05T18:47:29Z</dcterms:modified>
</cp:coreProperties>
</file>