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15" windowWidth="12735" windowHeight="651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22" i="1" l="1"/>
  <c r="F49" i="1"/>
  <c r="F13" i="1"/>
  <c r="H664" i="1"/>
  <c r="F664" i="1"/>
  <c r="I664" i="1" s="1"/>
  <c r="F12" i="1"/>
  <c r="K262" i="1"/>
  <c r="G178" i="1"/>
  <c r="G22" i="1"/>
  <c r="G131" i="1"/>
  <c r="G13" i="1"/>
  <c r="G19" i="1" s="1"/>
  <c r="G617" i="1" s="1"/>
  <c r="F109" i="1"/>
  <c r="F110" i="1" s="1"/>
  <c r="F56" i="1"/>
  <c r="I521" i="1"/>
  <c r="I520" i="1"/>
  <c r="I522" i="1"/>
  <c r="H522" i="1"/>
  <c r="H521" i="1"/>
  <c r="H520" i="1"/>
  <c r="I566" i="1"/>
  <c r="I567" i="1"/>
  <c r="I569" i="1" s="1"/>
  <c r="H566" i="1"/>
  <c r="H567" i="1"/>
  <c r="J522" i="1"/>
  <c r="J521" i="1"/>
  <c r="J520" i="1"/>
  <c r="G522" i="1"/>
  <c r="G521" i="1"/>
  <c r="G520" i="1"/>
  <c r="F522" i="1"/>
  <c r="F521" i="1"/>
  <c r="F523" i="1" s="1"/>
  <c r="F520" i="1"/>
  <c r="H542" i="1"/>
  <c r="L542" i="1" s="1"/>
  <c r="H541" i="1"/>
  <c r="L541" i="1" s="1"/>
  <c r="J549" i="1" s="1"/>
  <c r="H540" i="1"/>
  <c r="L540" i="1" s="1"/>
  <c r="K520" i="1"/>
  <c r="K522" i="1"/>
  <c r="K521" i="1"/>
  <c r="K523" i="1" s="1"/>
  <c r="I501" i="1"/>
  <c r="H501" i="1"/>
  <c r="G501" i="1"/>
  <c r="G500" i="1"/>
  <c r="G502" i="1" s="1"/>
  <c r="G498" i="1"/>
  <c r="G496" i="1"/>
  <c r="G497" i="1" s="1"/>
  <c r="I497" i="1"/>
  <c r="I499" i="1" s="1"/>
  <c r="E160" i="2" s="1"/>
  <c r="H497" i="1"/>
  <c r="F497" i="1"/>
  <c r="B158" i="2"/>
  <c r="H395" i="1"/>
  <c r="F458" i="1"/>
  <c r="I47" i="1"/>
  <c r="H30" i="1"/>
  <c r="E29" i="2" s="1"/>
  <c r="H28" i="1"/>
  <c r="H24" i="1"/>
  <c r="H22" i="1"/>
  <c r="H12" i="1"/>
  <c r="E11" i="2" s="1"/>
  <c r="H13" i="1"/>
  <c r="H45" i="1"/>
  <c r="H50" i="1" s="1"/>
  <c r="G12" i="1"/>
  <c r="D11" i="2" s="1"/>
  <c r="F35" i="1"/>
  <c r="C34" i="2" s="1"/>
  <c r="F29" i="1"/>
  <c r="C28" i="2" s="1"/>
  <c r="F28" i="1"/>
  <c r="G109" i="1"/>
  <c r="G110" i="1" s="1"/>
  <c r="C37" i="10"/>
  <c r="F40" i="2"/>
  <c r="D39" i="2"/>
  <c r="G654" i="1"/>
  <c r="F47" i="2"/>
  <c r="E47" i="2"/>
  <c r="D47" i="2"/>
  <c r="C47" i="2"/>
  <c r="E46" i="2"/>
  <c r="D46" i="2"/>
  <c r="C46" i="2"/>
  <c r="F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C121" i="2" s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C118" i="2" s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D17" i="13" s="1"/>
  <c r="L250" i="1"/>
  <c r="F18" i="13"/>
  <c r="G18" i="13"/>
  <c r="L251" i="1"/>
  <c r="D18" i="13" s="1"/>
  <c r="C18" i="13" s="1"/>
  <c r="F19" i="13"/>
  <c r="G19" i="13"/>
  <c r="L252" i="1"/>
  <c r="F29" i="13"/>
  <c r="G29" i="13"/>
  <c r="L357" i="1"/>
  <c r="L358" i="1"/>
  <c r="L359" i="1"/>
  <c r="I366" i="1"/>
  <c r="J289" i="1"/>
  <c r="J308" i="1"/>
  <c r="F31" i="13" s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E113" i="2" s="1"/>
  <c r="L334" i="1"/>
  <c r="L259" i="1"/>
  <c r="L260" i="1"/>
  <c r="L340" i="1"/>
  <c r="E130" i="2" s="1"/>
  <c r="L341" i="1"/>
  <c r="L254" i="1"/>
  <c r="L335" i="1"/>
  <c r="E129" i="2" s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C18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8" i="2"/>
  <c r="G60" i="2"/>
  <c r="G61" i="2"/>
  <c r="F2" i="11"/>
  <c r="L612" i="1"/>
  <c r="L611" i="1"/>
  <c r="L610" i="1"/>
  <c r="C40" i="10"/>
  <c r="F59" i="1"/>
  <c r="C55" i="2" s="1"/>
  <c r="G59" i="1"/>
  <c r="H59" i="1"/>
  <c r="E55" i="2" s="1"/>
  <c r="I59" i="1"/>
  <c r="F78" i="1"/>
  <c r="F93" i="1"/>
  <c r="C57" i="2" s="1"/>
  <c r="G111" i="1"/>
  <c r="H78" i="1"/>
  <c r="H93" i="1"/>
  <c r="H110" i="1"/>
  <c r="I110" i="1"/>
  <c r="I111" i="1" s="1"/>
  <c r="J110" i="1"/>
  <c r="F120" i="1"/>
  <c r="G120" i="1"/>
  <c r="H120" i="1"/>
  <c r="H135" i="1"/>
  <c r="I120" i="1"/>
  <c r="I135" i="1"/>
  <c r="J120" i="1"/>
  <c r="J135" i="1"/>
  <c r="F146" i="1"/>
  <c r="C84" i="2" s="1"/>
  <c r="F161" i="1"/>
  <c r="G146" i="1"/>
  <c r="D84" i="2" s="1"/>
  <c r="G161" i="1"/>
  <c r="H146" i="1"/>
  <c r="H161" i="1"/>
  <c r="I146" i="1"/>
  <c r="F84" i="2" s="1"/>
  <c r="I161" i="1"/>
  <c r="L249" i="1"/>
  <c r="L331" i="1"/>
  <c r="L253" i="1"/>
  <c r="L267" i="1"/>
  <c r="L268" i="1"/>
  <c r="C142" i="2" s="1"/>
  <c r="L348" i="1"/>
  <c r="L349" i="1"/>
  <c r="E142" i="2" s="1"/>
  <c r="I669" i="1"/>
  <c r="I668" i="1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L345" i="1"/>
  <c r="E136" i="2" s="1"/>
  <c r="L346" i="1"/>
  <c r="K350" i="1"/>
  <c r="L525" i="1"/>
  <c r="G548" i="1"/>
  <c r="L526" i="1"/>
  <c r="G549" i="1"/>
  <c r="L527" i="1"/>
  <c r="L530" i="1"/>
  <c r="L531" i="1"/>
  <c r="H549" i="1" s="1"/>
  <c r="L532" i="1"/>
  <c r="H550" i="1" s="1"/>
  <c r="L535" i="1"/>
  <c r="L536" i="1"/>
  <c r="I549" i="1" s="1"/>
  <c r="L537" i="1"/>
  <c r="I550" i="1"/>
  <c r="J550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C9" i="2"/>
  <c r="D9" i="2"/>
  <c r="E9" i="2"/>
  <c r="F9" i="2"/>
  <c r="I439" i="1"/>
  <c r="J10" i="1" s="1"/>
  <c r="G9" i="2"/>
  <c r="C10" i="2"/>
  <c r="C11" i="2"/>
  <c r="F11" i="2"/>
  <c r="I440" i="1"/>
  <c r="J12" i="1" s="1"/>
  <c r="G11" i="2" s="1"/>
  <c r="D12" i="2"/>
  <c r="E12" i="2"/>
  <c r="F12" i="2"/>
  <c r="I441" i="1"/>
  <c r="J13" i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/>
  <c r="C17" i="2"/>
  <c r="D17" i="2"/>
  <c r="E17" i="2"/>
  <c r="F17" i="2"/>
  <c r="I444" i="1"/>
  <c r="J18" i="1"/>
  <c r="G17" i="2" s="1"/>
  <c r="C21" i="2"/>
  <c r="D22" i="2"/>
  <c r="D23" i="2"/>
  <c r="D24" i="2"/>
  <c r="D27" i="2"/>
  <c r="D28" i="2"/>
  <c r="D29" i="2"/>
  <c r="D30" i="2"/>
  <c r="D34" i="2"/>
  <c r="D35" i="2"/>
  <c r="E21" i="2"/>
  <c r="F21" i="2"/>
  <c r="I447" i="1"/>
  <c r="J22" i="1" s="1"/>
  <c r="G21" i="2" s="1"/>
  <c r="C22" i="2"/>
  <c r="E22" i="2"/>
  <c r="F22" i="2"/>
  <c r="I448" i="1"/>
  <c r="C23" i="2"/>
  <c r="F23" i="2"/>
  <c r="I449" i="1"/>
  <c r="J24" i="1"/>
  <c r="G23" i="2" s="1"/>
  <c r="C24" i="2"/>
  <c r="E24" i="2"/>
  <c r="F24" i="2"/>
  <c r="C25" i="2"/>
  <c r="F25" i="2"/>
  <c r="C26" i="2"/>
  <c r="F26" i="2"/>
  <c r="C27" i="2"/>
  <c r="E27" i="2"/>
  <c r="F27" i="2"/>
  <c r="E28" i="2"/>
  <c r="F28" i="2"/>
  <c r="C29" i="2"/>
  <c r="F29" i="2"/>
  <c r="C30" i="2"/>
  <c r="E30" i="2"/>
  <c r="F30" i="2"/>
  <c r="I450" i="1"/>
  <c r="J31" i="1" s="1"/>
  <c r="G30" i="2" s="1"/>
  <c r="E34" i="2"/>
  <c r="F34" i="2"/>
  <c r="C35" i="2"/>
  <c r="E35" i="2"/>
  <c r="F35" i="2"/>
  <c r="I453" i="1"/>
  <c r="J48" i="1" s="1"/>
  <c r="G47" i="2" s="1"/>
  <c r="I455" i="1"/>
  <c r="J43" i="1" s="1"/>
  <c r="G42" i="2" s="1"/>
  <c r="I456" i="1"/>
  <c r="J37" i="1" s="1"/>
  <c r="C48" i="2"/>
  <c r="D55" i="2"/>
  <c r="F55" i="2"/>
  <c r="C56" i="2"/>
  <c r="E56" i="2"/>
  <c r="E57" i="2"/>
  <c r="E61" i="2" s="1"/>
  <c r="C58" i="2"/>
  <c r="D58" i="2"/>
  <c r="E58" i="2"/>
  <c r="F58" i="2"/>
  <c r="D59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F71" i="2"/>
  <c r="C72" i="2"/>
  <c r="F72" i="2"/>
  <c r="C73" i="2"/>
  <c r="C74" i="2"/>
  <c r="C75" i="2"/>
  <c r="E75" i="2"/>
  <c r="F75" i="2"/>
  <c r="C76" i="2"/>
  <c r="E76" i="2"/>
  <c r="F76" i="2"/>
  <c r="G76" i="2"/>
  <c r="G77" i="2" s="1"/>
  <c r="G80" i="2" s="1"/>
  <c r="C78" i="2"/>
  <c r="D78" i="2"/>
  <c r="E78" i="2"/>
  <c r="C79" i="2"/>
  <c r="E79" i="2"/>
  <c r="E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1" i="2"/>
  <c r="E112" i="2"/>
  <c r="E117" i="2"/>
  <c r="E119" i="2"/>
  <c r="E121" i="2"/>
  <c r="E123" i="2"/>
  <c r="E134" i="2"/>
  <c r="E141" i="2"/>
  <c r="C110" i="2"/>
  <c r="C113" i="2"/>
  <c r="D114" i="2"/>
  <c r="F114" i="2"/>
  <c r="G114" i="2"/>
  <c r="C117" i="2"/>
  <c r="C120" i="2"/>
  <c r="C122" i="2"/>
  <c r="C124" i="2"/>
  <c r="F127" i="2"/>
  <c r="G127" i="2"/>
  <c r="C129" i="2"/>
  <c r="F133" i="2"/>
  <c r="D133" i="2"/>
  <c r="D143" i="2" s="1"/>
  <c r="K418" i="1"/>
  <c r="K426" i="1"/>
  <c r="K432" i="1"/>
  <c r="L263" i="1"/>
  <c r="C135" i="2" s="1"/>
  <c r="L264" i="1"/>
  <c r="C136" i="2" s="1"/>
  <c r="C141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E158" i="2"/>
  <c r="F158" i="2"/>
  <c r="B159" i="2"/>
  <c r="C159" i="2"/>
  <c r="D159" i="2"/>
  <c r="E159" i="2"/>
  <c r="F159" i="2"/>
  <c r="F499" i="1"/>
  <c r="B160" i="2"/>
  <c r="J499" i="1"/>
  <c r="F160" i="2"/>
  <c r="B161" i="2"/>
  <c r="C161" i="2"/>
  <c r="D161" i="2"/>
  <c r="E161" i="2"/>
  <c r="F161" i="2"/>
  <c r="G161" i="2"/>
  <c r="B162" i="2"/>
  <c r="C162" i="2"/>
  <c r="E162" i="2"/>
  <c r="F162" i="2"/>
  <c r="F502" i="1"/>
  <c r="B163" i="2"/>
  <c r="C163" i="2"/>
  <c r="I502" i="1"/>
  <c r="E163" i="2"/>
  <c r="J502" i="1"/>
  <c r="F163" i="2"/>
  <c r="H19" i="1"/>
  <c r="G618" i="1" s="1"/>
  <c r="I19" i="1"/>
  <c r="F32" i="1"/>
  <c r="I32" i="1"/>
  <c r="F50" i="1"/>
  <c r="G621" i="1" s="1"/>
  <c r="G50" i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H603" i="1" s="1"/>
  <c r="F662" i="1" s="1"/>
  <c r="K210" i="1"/>
  <c r="F228" i="1"/>
  <c r="G228" i="1"/>
  <c r="H228" i="1"/>
  <c r="I228" i="1"/>
  <c r="J228" i="1"/>
  <c r="K228" i="1"/>
  <c r="F246" i="1"/>
  <c r="G246" i="1"/>
  <c r="H246" i="1"/>
  <c r="I246" i="1"/>
  <c r="J246" i="1"/>
  <c r="J603" i="1" s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I337" i="1" s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F451" i="1"/>
  <c r="G451" i="1"/>
  <c r="H451" i="1"/>
  <c r="G459" i="1"/>
  <c r="G460" i="1" s="1"/>
  <c r="H639" i="1" s="1"/>
  <c r="J639" i="1" s="1"/>
  <c r="H459" i="1"/>
  <c r="H460" i="1"/>
  <c r="H640" i="1" s="1"/>
  <c r="J473" i="1"/>
  <c r="K494" i="1"/>
  <c r="K495" i="1"/>
  <c r="K496" i="1"/>
  <c r="K498" i="1"/>
  <c r="K500" i="1"/>
  <c r="F516" i="1"/>
  <c r="G516" i="1"/>
  <c r="H516" i="1"/>
  <c r="I516" i="1"/>
  <c r="H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I543" i="1"/>
  <c r="J543" i="1"/>
  <c r="K543" i="1"/>
  <c r="L556" i="1"/>
  <c r="L557" i="1"/>
  <c r="L558" i="1"/>
  <c r="F559" i="1"/>
  <c r="G559" i="1"/>
  <c r="H559" i="1"/>
  <c r="I559" i="1"/>
  <c r="J559" i="1"/>
  <c r="J570" i="1" s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649" i="1" s="1"/>
  <c r="J597" i="1"/>
  <c r="H650" i="1" s="1"/>
  <c r="J650" i="1"/>
  <c r="K601" i="1"/>
  <c r="K602" i="1"/>
  <c r="F613" i="1"/>
  <c r="G613" i="1"/>
  <c r="H613" i="1"/>
  <c r="I613" i="1"/>
  <c r="J613" i="1"/>
  <c r="K613" i="1"/>
  <c r="G619" i="1"/>
  <c r="G622" i="1"/>
  <c r="H637" i="1"/>
  <c r="G640" i="1"/>
  <c r="J640" i="1" s="1"/>
  <c r="G642" i="1"/>
  <c r="H642" i="1"/>
  <c r="J642" i="1" s="1"/>
  <c r="G643" i="1"/>
  <c r="J643" i="1"/>
  <c r="H646" i="1"/>
  <c r="G649" i="1"/>
  <c r="G650" i="1"/>
  <c r="G651" i="1"/>
  <c r="G652" i="1"/>
  <c r="H652" i="1"/>
  <c r="G653" i="1"/>
  <c r="H653" i="1"/>
  <c r="H654" i="1"/>
  <c r="C69" i="2"/>
  <c r="D15" i="13"/>
  <c r="C15" i="13" s="1"/>
  <c r="E18" i="2"/>
  <c r="C17" i="13"/>
  <c r="F77" i="2"/>
  <c r="F80" i="2" s="1"/>
  <c r="F90" i="2"/>
  <c r="E102" i="2"/>
  <c r="D90" i="2"/>
  <c r="D19" i="13"/>
  <c r="C19" i="13" s="1"/>
  <c r="E13" i="13"/>
  <c r="C13" i="13" s="1"/>
  <c r="L426" i="1"/>
  <c r="H111" i="1"/>
  <c r="L432" i="1"/>
  <c r="I168" i="1"/>
  <c r="H168" i="1"/>
  <c r="F168" i="1"/>
  <c r="J139" i="1"/>
  <c r="C29" i="10"/>
  <c r="H139" i="1"/>
  <c r="L400" i="1"/>
  <c r="C138" i="2" s="1"/>
  <c r="L559" i="1"/>
  <c r="L308" i="1"/>
  <c r="E16" i="13"/>
  <c r="C16" i="13" s="1"/>
  <c r="J654" i="1"/>
  <c r="L564" i="1"/>
  <c r="F337" i="1"/>
  <c r="F351" i="1" s="1"/>
  <c r="E8" i="13"/>
  <c r="C8" i="13" s="1"/>
  <c r="J337" i="1"/>
  <c r="J351" i="1" s="1"/>
  <c r="C130" i="2"/>
  <c r="G337" i="1"/>
  <c r="G351" i="1" s="1"/>
  <c r="G648" i="1"/>
  <c r="J648" i="1" s="1"/>
  <c r="D5" i="13"/>
  <c r="D126" i="2"/>
  <c r="D127" i="2" s="1"/>
  <c r="H660" i="1"/>
  <c r="F660" i="1"/>
  <c r="D7" i="13"/>
  <c r="C7" i="13"/>
  <c r="C109" i="2"/>
  <c r="L228" i="1"/>
  <c r="K256" i="1"/>
  <c r="D14" i="13"/>
  <c r="C14" i="13" s="1"/>
  <c r="G256" i="1"/>
  <c r="G270" i="1" s="1"/>
  <c r="L246" i="1"/>
  <c r="C108" i="2"/>
  <c r="H337" i="1"/>
  <c r="H351" i="1" s="1"/>
  <c r="L210" i="1"/>
  <c r="D12" i="13"/>
  <c r="C12" i="13" s="1"/>
  <c r="I351" i="1"/>
  <c r="J653" i="1"/>
  <c r="F433" i="1"/>
  <c r="G168" i="1"/>
  <c r="C39" i="10" s="1"/>
  <c r="H433" i="1"/>
  <c r="D102" i="2"/>
  <c r="I139" i="1"/>
  <c r="I433" i="1"/>
  <c r="L520" i="1"/>
  <c r="F548" i="1" s="1"/>
  <c r="K501" i="1"/>
  <c r="G159" i="2"/>
  <c r="E44" i="2"/>
  <c r="L569" i="1"/>
  <c r="J548" i="1"/>
  <c r="L543" i="1"/>
  <c r="F544" i="1"/>
  <c r="C22" i="12"/>
  <c r="B22" i="12"/>
  <c r="F51" i="1"/>
  <c r="H616" i="1"/>
  <c r="C60" i="2"/>
  <c r="C61" i="2"/>
  <c r="C62" i="2" s="1"/>
  <c r="G623" i="1"/>
  <c r="G36" i="2"/>
  <c r="G499" i="1"/>
  <c r="C158" i="2"/>
  <c r="K497" i="1"/>
  <c r="H662" i="1"/>
  <c r="J604" i="1"/>
  <c r="H604" i="1"/>
  <c r="C160" i="2"/>
  <c r="I660" i="1" l="1"/>
  <c r="C102" i="2"/>
  <c r="F102" i="2"/>
  <c r="E90" i="2"/>
  <c r="H548" i="1"/>
  <c r="H551" i="1" s="1"/>
  <c r="L533" i="1"/>
  <c r="F129" i="2"/>
  <c r="F143" i="2" s="1"/>
  <c r="F144" i="2" s="1"/>
  <c r="C23" i="10"/>
  <c r="C112" i="2"/>
  <c r="C90" i="2"/>
  <c r="E62" i="2"/>
  <c r="E124" i="2"/>
  <c r="E122" i="2"/>
  <c r="E120" i="2"/>
  <c r="E118" i="2"/>
  <c r="C123" i="2"/>
  <c r="C18" i="10"/>
  <c r="D6" i="13"/>
  <c r="C6" i="13" s="1"/>
  <c r="C26" i="10"/>
  <c r="D49" i="2"/>
  <c r="C49" i="2"/>
  <c r="L255" i="1"/>
  <c r="L256" i="1" s="1"/>
  <c r="F61" i="2"/>
  <c r="F62" i="2" s="1"/>
  <c r="F103" i="2" s="1"/>
  <c r="J23" i="1"/>
  <c r="G22" i="2" s="1"/>
  <c r="I451" i="1"/>
  <c r="F31" i="2"/>
  <c r="F18" i="2"/>
  <c r="D18" i="2"/>
  <c r="K269" i="1"/>
  <c r="K270" i="1" s="1"/>
  <c r="L262" i="1"/>
  <c r="C134" i="2" s="1"/>
  <c r="J652" i="1"/>
  <c r="F570" i="1"/>
  <c r="K544" i="1"/>
  <c r="G433" i="1"/>
  <c r="L381" i="1"/>
  <c r="I603" i="1"/>
  <c r="H256" i="1"/>
  <c r="H270" i="1" s="1"/>
  <c r="F256" i="1"/>
  <c r="F270" i="1" s="1"/>
  <c r="I256" i="1"/>
  <c r="I270" i="1" s="1"/>
  <c r="I191" i="1"/>
  <c r="I192" i="1" s="1"/>
  <c r="G191" i="1"/>
  <c r="H191" i="1"/>
  <c r="H192" i="1" s="1"/>
  <c r="H467" i="1" s="1"/>
  <c r="G157" i="2"/>
  <c r="K433" i="1"/>
  <c r="G133" i="2" s="1"/>
  <c r="G143" i="2" s="1"/>
  <c r="G144" i="2" s="1"/>
  <c r="D144" i="2"/>
  <c r="E77" i="2"/>
  <c r="E80" i="2" s="1"/>
  <c r="C31" i="2"/>
  <c r="G31" i="2"/>
  <c r="A22" i="12"/>
  <c r="L361" i="1"/>
  <c r="H661" i="1"/>
  <c r="C21" i="10"/>
  <c r="C17" i="10"/>
  <c r="E110" i="2"/>
  <c r="F661" i="1"/>
  <c r="G660" i="1"/>
  <c r="C24" i="10"/>
  <c r="C111" i="2"/>
  <c r="C114" i="2" s="1"/>
  <c r="C13" i="10"/>
  <c r="C119" i="2"/>
  <c r="C127" i="2" s="1"/>
  <c r="L522" i="1"/>
  <c r="F550" i="1" s="1"/>
  <c r="J523" i="1"/>
  <c r="J544" i="1" s="1"/>
  <c r="K548" i="1"/>
  <c r="G628" i="1"/>
  <c r="C5" i="13"/>
  <c r="L570" i="1"/>
  <c r="F191" i="1"/>
  <c r="E49" i="2"/>
  <c r="G662" i="1"/>
  <c r="I662" i="1" s="1"/>
  <c r="L613" i="1"/>
  <c r="G55" i="2"/>
  <c r="G62" i="2" s="1"/>
  <c r="G103" i="2" s="1"/>
  <c r="C35" i="10"/>
  <c r="L406" i="1"/>
  <c r="C139" i="2" s="1"/>
  <c r="L392" i="1"/>
  <c r="A13" i="12"/>
  <c r="A31" i="12"/>
  <c r="A40" i="12"/>
  <c r="E131" i="2"/>
  <c r="E143" i="2" s="1"/>
  <c r="H25" i="13"/>
  <c r="C25" i="10"/>
  <c r="L327" i="1"/>
  <c r="E108" i="2"/>
  <c r="E109" i="2"/>
  <c r="L289" i="1"/>
  <c r="G31" i="13"/>
  <c r="G33" i="13" s="1"/>
  <c r="I368" i="1"/>
  <c r="H633" i="1" s="1"/>
  <c r="J633" i="1" s="1"/>
  <c r="D29" i="13"/>
  <c r="C29" i="13" s="1"/>
  <c r="C10" i="10"/>
  <c r="L521" i="1"/>
  <c r="G523" i="1"/>
  <c r="G544" i="1" s="1"/>
  <c r="G32" i="1"/>
  <c r="D21" i="2"/>
  <c r="D31" i="2" s="1"/>
  <c r="C12" i="2"/>
  <c r="C18" i="2" s="1"/>
  <c r="F19" i="1"/>
  <c r="G616" i="1" s="1"/>
  <c r="F135" i="1"/>
  <c r="F139" i="1" s="1"/>
  <c r="C71" i="2"/>
  <c r="C77" i="2" s="1"/>
  <c r="C80" i="2" s="1"/>
  <c r="J32" i="1"/>
  <c r="J551" i="1"/>
  <c r="E33" i="13"/>
  <c r="D35" i="13" s="1"/>
  <c r="J111" i="1"/>
  <c r="J192" i="1" s="1"/>
  <c r="H659" i="1"/>
  <c r="H663" i="1" s="1"/>
  <c r="G659" i="1"/>
  <c r="K337" i="1"/>
  <c r="K351" i="1" s="1"/>
  <c r="J256" i="1"/>
  <c r="F22" i="13"/>
  <c r="L350" i="1"/>
  <c r="H651" i="1"/>
  <c r="J651" i="1" s="1"/>
  <c r="G644" i="1"/>
  <c r="J644" i="1" s="1"/>
  <c r="K597" i="1"/>
  <c r="G646" i="1" s="1"/>
  <c r="J646" i="1" s="1"/>
  <c r="H570" i="1"/>
  <c r="K570" i="1"/>
  <c r="I570" i="1"/>
  <c r="G570" i="1"/>
  <c r="H543" i="1"/>
  <c r="H544" i="1" s="1"/>
  <c r="J433" i="1"/>
  <c r="L418" i="1"/>
  <c r="L433" i="1" s="1"/>
  <c r="G637" i="1" s="1"/>
  <c r="J637" i="1" s="1"/>
  <c r="L336" i="1"/>
  <c r="G51" i="1"/>
  <c r="H617" i="1" s="1"/>
  <c r="J617" i="1" s="1"/>
  <c r="G156" i="2"/>
  <c r="G155" i="2"/>
  <c r="D61" i="2"/>
  <c r="D62" i="2"/>
  <c r="J9" i="1"/>
  <c r="I445" i="1"/>
  <c r="G641" i="1" s="1"/>
  <c r="L269" i="1"/>
  <c r="L270" i="1" s="1"/>
  <c r="I548" i="1"/>
  <c r="I551" i="1" s="1"/>
  <c r="L538" i="1"/>
  <c r="G550" i="1"/>
  <c r="L528" i="1"/>
  <c r="C19" i="10"/>
  <c r="C12" i="10"/>
  <c r="C15" i="10"/>
  <c r="C11" i="10"/>
  <c r="E23" i="2"/>
  <c r="E31" i="2" s="1"/>
  <c r="H32" i="1"/>
  <c r="H51" i="1" s="1"/>
  <c r="H618" i="1" s="1"/>
  <c r="J618" i="1" s="1"/>
  <c r="I458" i="1"/>
  <c r="J47" i="1" s="1"/>
  <c r="F459" i="1"/>
  <c r="F460" i="1" s="1"/>
  <c r="H638" i="1" s="1"/>
  <c r="J638" i="1" s="1"/>
  <c r="D158" i="2"/>
  <c r="G158" i="2" s="1"/>
  <c r="H499" i="1"/>
  <c r="D162" i="2"/>
  <c r="G162" i="2" s="1"/>
  <c r="H502" i="1"/>
  <c r="G135" i="1"/>
  <c r="G139" i="1" s="1"/>
  <c r="G192" i="1" s="1"/>
  <c r="D76" i="2"/>
  <c r="D77" i="2" s="1"/>
  <c r="D80" i="2" s="1"/>
  <c r="G551" i="1"/>
  <c r="C32" i="10"/>
  <c r="G661" i="1"/>
  <c r="C20" i="10"/>
  <c r="C16" i="10"/>
  <c r="I50" i="1"/>
  <c r="F46" i="2"/>
  <c r="F49" i="2" s="1"/>
  <c r="F50" i="2" s="1"/>
  <c r="I523" i="1"/>
  <c r="I544" i="1" s="1"/>
  <c r="F111" i="1"/>
  <c r="D103" i="2" l="1"/>
  <c r="I604" i="1"/>
  <c r="K603" i="1"/>
  <c r="K604" i="1" s="1"/>
  <c r="G647" i="1" s="1"/>
  <c r="F192" i="1"/>
  <c r="I661" i="1"/>
  <c r="K550" i="1"/>
  <c r="C103" i="2"/>
  <c r="D50" i="2"/>
  <c r="E114" i="2"/>
  <c r="E144" i="2" s="1"/>
  <c r="C27" i="10"/>
  <c r="G471" i="1"/>
  <c r="G634" i="1"/>
  <c r="G635" i="1"/>
  <c r="I471" i="1"/>
  <c r="C50" i="2"/>
  <c r="E127" i="2"/>
  <c r="E103" i="2"/>
  <c r="F471" i="1"/>
  <c r="G631" i="1"/>
  <c r="F467" i="1"/>
  <c r="G626" i="1"/>
  <c r="G467" i="1"/>
  <c r="G627" i="1"/>
  <c r="G46" i="2"/>
  <c r="G49" i="2" s="1"/>
  <c r="G50" i="2" s="1"/>
  <c r="J50" i="1"/>
  <c r="D12" i="10"/>
  <c r="C22" i="13"/>
  <c r="F33" i="13"/>
  <c r="H671" i="1"/>
  <c r="C6" i="10" s="1"/>
  <c r="H666" i="1"/>
  <c r="J467" i="1"/>
  <c r="G630" i="1"/>
  <c r="G645" i="1"/>
  <c r="J616" i="1"/>
  <c r="C28" i="10"/>
  <c r="D16" i="10" s="1"/>
  <c r="D10" i="10"/>
  <c r="D31" i="13"/>
  <c r="C31" i="13" s="1"/>
  <c r="L337" i="1"/>
  <c r="L351" i="1" s="1"/>
  <c r="D25" i="10"/>
  <c r="E50" i="2"/>
  <c r="F659" i="1"/>
  <c r="G624" i="1"/>
  <c r="I51" i="1"/>
  <c r="H619" i="1" s="1"/>
  <c r="J619" i="1" s="1"/>
  <c r="D20" i="10"/>
  <c r="K502" i="1"/>
  <c r="D163" i="2"/>
  <c r="G163" i="2" s="1"/>
  <c r="K499" i="1"/>
  <c r="D160" i="2"/>
  <c r="G160" i="2" s="1"/>
  <c r="D15" i="10"/>
  <c r="D19" i="10"/>
  <c r="J19" i="1"/>
  <c r="G620" i="1" s="1"/>
  <c r="G8" i="2"/>
  <c r="G18" i="2" s="1"/>
  <c r="J270" i="1"/>
  <c r="H647" i="1"/>
  <c r="G663" i="1"/>
  <c r="I459" i="1"/>
  <c r="I460" i="1" s="1"/>
  <c r="H641" i="1" s="1"/>
  <c r="J641" i="1" s="1"/>
  <c r="C38" i="10"/>
  <c r="F549" i="1"/>
  <c r="L523" i="1"/>
  <c r="L544" i="1" s="1"/>
  <c r="H33" i="13"/>
  <c r="C25" i="13"/>
  <c r="C137" i="2"/>
  <c r="L407" i="1"/>
  <c r="C36" i="10"/>
  <c r="G629" i="1"/>
  <c r="I467" i="1"/>
  <c r="D33" i="13"/>
  <c r="D36" i="13" s="1"/>
  <c r="H628" i="1"/>
  <c r="J628" i="1" s="1"/>
  <c r="H469" i="1"/>
  <c r="H634" i="1" l="1"/>
  <c r="J634" i="1" s="1"/>
  <c r="G473" i="1"/>
  <c r="J647" i="1"/>
  <c r="H635" i="1"/>
  <c r="J635" i="1" s="1"/>
  <c r="I473" i="1"/>
  <c r="I469" i="1"/>
  <c r="H629" i="1"/>
  <c r="C140" i="2"/>
  <c r="C143" i="2" s="1"/>
  <c r="C144" i="2" s="1"/>
  <c r="F551" i="1"/>
  <c r="K549" i="1"/>
  <c r="K551" i="1" s="1"/>
  <c r="I659" i="1"/>
  <c r="I663" i="1" s="1"/>
  <c r="F663" i="1"/>
  <c r="H471" i="1"/>
  <c r="G632" i="1"/>
  <c r="J469" i="1"/>
  <c r="H630" i="1"/>
  <c r="H636" i="1"/>
  <c r="J51" i="1"/>
  <c r="H620" i="1" s="1"/>
  <c r="J464" i="1"/>
  <c r="J475" i="1" s="1"/>
  <c r="H625" i="1" s="1"/>
  <c r="G625" i="1"/>
  <c r="F464" i="1"/>
  <c r="F469" i="1"/>
  <c r="H626" i="1"/>
  <c r="H631" i="1"/>
  <c r="J631" i="1" s="1"/>
  <c r="F473" i="1"/>
  <c r="J629" i="1"/>
  <c r="C41" i="10"/>
  <c r="D36" i="10" s="1"/>
  <c r="H645" i="1"/>
  <c r="J645" i="1" s="1"/>
  <c r="G636" i="1"/>
  <c r="D38" i="10"/>
  <c r="G671" i="1"/>
  <c r="C5" i="10" s="1"/>
  <c r="G666" i="1"/>
  <c r="J620" i="1"/>
  <c r="I464" i="1"/>
  <c r="I475" i="1" s="1"/>
  <c r="H624" i="1" s="1"/>
  <c r="J624" i="1" s="1"/>
  <c r="D22" i="10"/>
  <c r="D27" i="10"/>
  <c r="D23" i="10"/>
  <c r="D13" i="10"/>
  <c r="D24" i="10"/>
  <c r="C30" i="10"/>
  <c r="D18" i="10"/>
  <c r="D17" i="10"/>
  <c r="D26" i="10"/>
  <c r="D21" i="10"/>
  <c r="J630" i="1"/>
  <c r="D11" i="10"/>
  <c r="G464" i="1"/>
  <c r="H627" i="1"/>
  <c r="J627" i="1" s="1"/>
  <c r="G469" i="1"/>
  <c r="J626" i="1"/>
  <c r="D28" i="10" l="1"/>
  <c r="G475" i="1"/>
  <c r="H622" i="1" s="1"/>
  <c r="J622" i="1" s="1"/>
  <c r="H473" i="1"/>
  <c r="H632" i="1"/>
  <c r="J632" i="1" s="1"/>
  <c r="H464" i="1"/>
  <c r="H475" i="1" s="1"/>
  <c r="H623" i="1" s="1"/>
  <c r="J623" i="1" s="1"/>
  <c r="I671" i="1"/>
  <c r="C7" i="10" s="1"/>
  <c r="I666" i="1"/>
  <c r="J636" i="1"/>
  <c r="D37" i="10"/>
  <c r="D40" i="10"/>
  <c r="D39" i="10"/>
  <c r="D35" i="10"/>
  <c r="F475" i="1"/>
  <c r="H621" i="1" s="1"/>
  <c r="J625" i="1"/>
  <c r="F666" i="1"/>
  <c r="F671" i="1"/>
  <c r="C4" i="10" s="1"/>
  <c r="D41" i="10" l="1"/>
  <c r="J621" i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<sst xmlns="http://schemas.openxmlformats.org/spreadsheetml/2006/main" count="3957" uniqueCount="923">
  <si>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</si>
  <si>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</si>
  <si>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</si>
  <si>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</si>
  <si>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</si>
  <si>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</si>
  <si>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</si>
  <si>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</si>
  <si>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</si>
  <si>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</si>
  <si>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</si>
  <si>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</si>
  <si>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</si>
  <si>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</si>
  <si>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</si>
  <si>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</si>
  <si>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</si>
  <si>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</si>
  <si>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</si>
  <si>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</si>
  <si>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</si>
  <si>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</si>
  <si>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</si>
  <si>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</si>
  <si>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</si>
  <si>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</si>
  <si>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</si>
  <si>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</si>
  <si>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</si>
  <si>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</si>
  <si>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</si>
  <si>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</si>
  <si>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</si>
  <si>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</si>
  <si>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</si>
  <si>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</si>
  <si>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</si>
  <si>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</si>
  <si>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</si>
  <si>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</si>
  <si>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</si>
  <si>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</si>
  <si>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</si>
  <si>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</si>
  <si>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</si>
  <si>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</si>
  <si>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</si>
  <si>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</si>
  <si>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</si>
  <si>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</si>
  <si>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</si>
  <si>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</si>
  <si>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</si>
  <si>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</si>
  <si>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</si>
  <si>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</si>
  <si>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</si>
  <si>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</si>
  <si>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</si>
  <si>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</si>
  <si>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</si>
  <si>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</si>
  <si>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</si>
  <si>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</si>
  <si>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</si>
  <si>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</si>
  <si>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</si>
  <si>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</si>
  <si>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</si>
  <si>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</si>
  <si>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</si>
  <si>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</si>
  <si>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</si>
  <si>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</si>
  <si>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</si>
  <si>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</si>
  <si>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</si>
  <si>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</si>
  <si>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</si>
  <si>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</si>
  <si>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</si>
  <si>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</si>
  <si>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</si>
  <si>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</si>
  <si>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</si>
  <si>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</si>
  <si>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</si>
  <si>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</si>
  <si>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</si>
  <si>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</si>
  <si>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</si>
  <si>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</si>
  <si>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</si>
  <si>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</si>
  <si>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</si>
  <si>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</si>
  <si>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</si>
  <si>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</si>
  <si>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</si>
  <si>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</si>
  <si>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</si>
  <si>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</si>
  <si>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</si>
  <si>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</si>
  <si>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</si>
  <si>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</si>
  <si>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</si>
  <si>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</si>
  <si>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</si>
  <si>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</si>
  <si>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</si>
  <si>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</si>
  <si>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</si>
  <si>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</si>
  <si>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</si>
  <si>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</si>
  <si>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</si>
  <si>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</si>
  <si>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</si>
  <si>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</si>
  <si>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</si>
  <si>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</si>
  <si>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</si>
  <si>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</si>
  <si>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</si>
  <si>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</si>
  <si>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</si>
  <si>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</si>
  <si>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</si>
  <si>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</si>
  <si>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</si>
  <si>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</si>
  <si>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</si>
  <si>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</si>
  <si>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</si>
  <si>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</si>
  <si>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</si>
  <si>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</si>
  <si>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</si>
  <si>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</si>
  <si>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</si>
  <si>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</si>
  <si>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</si>
  <si>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</si>
  <si>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</si>
  <si>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</si>
  <si>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</si>
  <si>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</si>
  <si>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</si>
  <si>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</si>
  <si>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</si>
  <si>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</si>
  <si>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</si>
  <si>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</si>
  <si>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</si>
  <si>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</si>
  <si>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</si>
  <si>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</si>
  <si>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</si>
  <si>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</si>
  <si>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</si>
  <si>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</si>
  <si>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</si>
  <si>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</si>
  <si>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</si>
  <si>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</si>
  <si>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</si>
  <si>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</si>
  <si>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</si>
  <si>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</si>
  <si>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</si>
  <si>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</si>
  <si>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</si>
  <si>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</si>
  <si>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</si>
  <si>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</si>
  <si>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</si>
  <si>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</si>
  <si>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</si>
  <si>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</si>
  <si>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</si>
  <si>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</si>
  <si>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</si>
  <si>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</si>
  <si>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</si>
  <si>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</si>
  <si>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</si>
  <si>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</si>
  <si>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</si>
  <si>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</si>
  <si>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</si>
  <si>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</si>
  <si>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</si>
  <si>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</si>
  <si>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</si>
  <si>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</si>
  <si>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</si>
  <si>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</si>
  <si>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</si>
  <si>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</si>
  <si>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</si>
  <si>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</si>
  <si>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</si>
  <si>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</si>
  <si>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</si>
  <si>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</si>
  <si>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</si>
  <si>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</si>
  <si>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</si>
  <si>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</si>
  <si>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</si>
  <si>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</si>
  <si>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</si>
  <si>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</si>
  <si>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</si>
  <si>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</si>
  <si>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</si>
  <si>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</si>
  <si>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</si>
  <si>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</si>
  <si>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</si>
  <si>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</si>
  <si>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</si>
  <si>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</si>
  <si>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</si>
  <si>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</si>
  <si>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</si>
  <si>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</si>
  <si>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</si>
  <si>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</si>
  <si>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</si>
  <si>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</si>
  <si>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</si>
  <si>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</si>
  <si>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</si>
  <si>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</si>
  <si>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</si>
  <si>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</si>
  <si>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</si>
  <si>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</si>
  <si>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</si>
  <si>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</si>
  <si>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</si>
  <si>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</si>
  <si>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</si>
  <si>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</si>
  <si>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</si>
  <si>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</si>
  <si>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</si>
  <si>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</si>
  <si>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</si>
  <si>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</si>
  <si>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</si>
  <si>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</si>
  <si>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</si>
  <si>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</si>
  <si>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</si>
  <si>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</si>
  <si>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</si>
  <si>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</si>
  <si>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</si>
  <si>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</si>
  <si>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</si>
  <si>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</si>
  <si>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</si>
  <si>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</si>
  <si>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</si>
  <si>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</si>
  <si>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</si>
  <si>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</si>
  <si>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</si>
  <si>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</si>
  <si>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</si>
  <si>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</si>
  <si>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</si>
  <si>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</si>
  <si>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</si>
  <si>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</si>
  <si>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</si>
  <si>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</si>
  <si>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</si>
  <si>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</si>
  <si>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</si>
  <si>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</si>
  <si>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</si>
  <si>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</si>
  <si>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</si>
  <si>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</si>
  <si>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</si>
  <si>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</si>
  <si>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</si>
  <si>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</si>
  <si>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</si>
  <si>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</si>
  <si>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</si>
  <si>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</si>
  <si>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</si>
  <si>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</si>
  <si>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</si>
  <si>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</si>
  <si>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</si>
  <si>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</si>
  <si>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</si>
  <si>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</si>
  <si>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</si>
  <si>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</si>
  <si>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</si>
  <si>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</si>
  <si>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</si>
  <si>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</si>
  <si>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</si>
  <si>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</si>
  <si>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</si>
  <si>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</si>
  <si>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</si>
  <si>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</si>
  <si>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</si>
  <si>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</si>
  <si>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</si>
  <si>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</si>
  <si>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</si>
  <si>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</si>
  <si>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</si>
  <si>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</si>
  <si>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</si>
  <si>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</si>
  <si>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</si>
  <si>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</si>
  <si>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</si>
  <si>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</si>
  <si>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</si>
  <si>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</si>
  <si>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</si>
  <si>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</si>
  <si>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</si>
  <si>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</si>
  <si>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</si>
  <si>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</si>
  <si>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</si>
  <si>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</si>
  <si>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</si>
  <si>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</si>
  <si>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</si>
  <si>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</si>
  <si>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</si>
  <si>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</si>
  <si>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</si>
  <si>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</si>
  <si>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</si>
  <si>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</si>
  <si>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</si>
  <si>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</si>
  <si>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</si>
  <si>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</si>
  <si>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</si>
  <si>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</si>
  <si>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</si>
  <si>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</si>
  <si>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</si>
  <si>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</si>
  <si>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</si>
  <si>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</si>
  <si>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</si>
  <si>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</si>
  <si>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</si>
  <si>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</si>
  <si>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</si>
  <si>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</si>
  <si>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</si>
  <si>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</si>
  <si>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</si>
  <si>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</si>
  <si>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</si>
  <si>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</si>
  <si>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</si>
  <si>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</si>
  <si>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</si>
  <si>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</si>
  <si>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</si>
  <si>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</si>
  <si>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</si>
  <si>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</si>
  <si>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</si>
  <si>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</si>
  <si>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</si>
  <si>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</si>
  <si>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</si>
  <si>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</si>
  <si>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</si>
  <si>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</si>
  <si>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</si>
  <si>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</si>
  <si>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</si>
  <si>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</si>
  <si>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</si>
  <si>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</si>
  <si>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</si>
  <si>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</si>
  <si>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</si>
  <si>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</si>
  <si>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</si>
  <si>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</si>
  <si>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</si>
  <si>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</si>
  <si>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</si>
  <si>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</si>
  <si>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</si>
  <si>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</si>
  <si>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</si>
  <si>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</si>
  <si>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</si>
  <si>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</si>
  <si>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</si>
  <si>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</si>
  <si>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</si>
  <si>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</si>
  <si>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</si>
  <si>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</si>
  <si>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</si>
  <si>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</si>
  <si>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</si>
  <si>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</si>
  <si>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</si>
  <si>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</si>
  <si>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</si>
  <si>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</si>
  <si>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</si>
  <si>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</si>
  <si>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</si>
  <si>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</si>
  <si>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</si>
  <si>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</si>
  <si>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</si>
  <si>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</si>
  <si>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</si>
  <si>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</si>
  <si>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</si>
  <si>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</si>
  <si>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</si>
  <si>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</si>
  <si>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</si>
  <si>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</si>
  <si>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</si>
  <si>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</si>
  <si>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</si>
  <si>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</si>
  <si>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</si>
  <si>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</si>
  <si>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</si>
  <si>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</si>
  <si>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</si>
  <si>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</si>
  <si>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</si>
  <si>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</si>
  <si>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</si>
  <si>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</si>
  <si>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</si>
  <si>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</si>
  <si>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</si>
  <si>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</si>
  <si>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</si>
  <si>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</si>
  <si>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</si>
  <si>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</si>
  <si>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</si>
  <si>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</si>
  <si>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</si>
  <si>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</si>
  <si>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</si>
  <si>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</si>
  <si>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</si>
  <si>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</si>
  <si>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</si>
  <si>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</si>
  <si>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</si>
  <si>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</si>
  <si>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</si>
  <si>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</si>
  <si>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</si>
  <si>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</si>
  <si>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</si>
  <si>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</si>
  <si>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</si>
  <si>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</si>
  <si>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</si>
  <si>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</si>
  <si>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</si>
  <si>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</si>
  <si>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</si>
  <si>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</si>
  <si>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</si>
  <si>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</si>
  <si>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</si>
  <si>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</si>
  <si>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</si>
  <si>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</si>
  <si>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</si>
  <si>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</si>
  <si>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</si>
  <si>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</si>
  <si>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</si>
  <si>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</si>
  <si>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</si>
  <si>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</si>
  <si>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</si>
  <si>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</si>
  <si>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</si>
  <si>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</si>
  <si>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</si>
  <si>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</si>
  <si>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</si>
  <si>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</si>
  <si>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</si>
  <si>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</si>
  <si>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</si>
  <si>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</si>
  <si>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</si>
  <si>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</si>
  <si>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</si>
  <si>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</si>
  <si>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</si>
  <si>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</si>
  <si>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</si>
  <si>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</si>
  <si>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</si>
  <si>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</si>
  <si>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</si>
  <si>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</si>
  <si>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</si>
  <si>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</si>
  <si>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</si>
  <si>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</si>
  <si>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</si>
  <si>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</si>
  <si>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</si>
  <si>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</si>
  <si>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</si>
  <si>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</si>
  <si>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</si>
  <si>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</si>
  <si>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</si>
  <si>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</si>
  <si>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</si>
  <si>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</si>
  <si>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</si>
  <si>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</si>
  <si>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</si>
  <si>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</si>
  <si>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</si>
  <si>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</si>
  <si>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</si>
  <si>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</si>
  <si>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</si>
  <si>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</si>
  <si>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</si>
  <si>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</si>
  <si>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</si>
  <si>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</si>
  <si>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</si>
  <si>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</si>
  <si>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</si>
  <si>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</si>
  <si>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</si>
  <si>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</si>
  <si>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</si>
  <si>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</si>
  <si>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</si>
  <si>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</si>
  <si>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</si>
  <si>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</si>
  <si>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</si>
  <si>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</si>
  <si>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</si>
  <si>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</si>
  <si>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</si>
  <si>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</si>
  <si>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</si>
  <si>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</si>
  <si>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</si>
  <si>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</si>
  <si>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</si>
  <si>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</si>
  <si>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</si>
  <si>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</si>
  <si>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</si>
  <si>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</si>
  <si>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</si>
  <si>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</si>
  <si>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</si>
  <si>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</si>
  <si>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</si>
  <si>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</si>
  <si>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</si>
  <si>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</si>
  <si>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</si>
  <si>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</si>
  <si>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</si>
  <si>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</si>
  <si>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</si>
  <si>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</si>
  <si>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</si>
  <si>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</si>
  <si>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</si>
  <si>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</si>
  <si>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</si>
  <si>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</si>
  <si>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</si>
  <si>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</si>
  <si>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</si>
  <si>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</si>
  <si>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</si>
  <si>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</si>
  <si>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</si>
  <si>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</si>
  <si>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</si>
  <si>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</si>
  <si>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</si>
  <si>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</si>
  <si>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</si>
  <si>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</si>
  <si>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</si>
  <si>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</si>
  <si>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</si>
  <si>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</si>
  <si>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</si>
  <si>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</si>
  <si>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</si>
  <si>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</si>
  <si>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</si>
  <si>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</si>
  <si>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</si>
  <si>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</si>
  <si>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</si>
  <si>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</si>
  <si>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</si>
  <si>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</si>
  <si>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</si>
  <si>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</si>
  <si>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</si>
  <si>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</si>
  <si>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</si>
  <si>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</si>
  <si>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</si>
  <si>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</si>
  <si>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</si>
  <si>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</si>
  <si>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</si>
  <si>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</si>
  <si>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</si>
  <si>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</si>
  <si>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</si>
  <si>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</si>
  <si>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</si>
  <si>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</si>
  <si>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</si>
  <si>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</si>
  <si>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</si>
  <si>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</si>
  <si>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</si>
  <si>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</si>
  <si>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</si>
  <si>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</si>
  <si>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</si>
  <si>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</si>
  <si>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</si>
  <si>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</si>
  <si>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</si>
  <si>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</si>
  <si>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</si>
  <si>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</si>
  <si>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</si>
  <si>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</si>
  <si>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</si>
  <si>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</si>
  <si>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</si>
  <si>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</si>
  <si>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</si>
  <si>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</si>
  <si>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</si>
  <si>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</si>
  <si>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</si>
  <si>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</si>
  <si>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</si>
  <si>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</si>
  <si>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</si>
  <si>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</si>
  <si>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</si>
  <si>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</si>
  <si>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</si>
  <si>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</si>
  <si>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</si>
  <si>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</si>
  <si>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</si>
  <si>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</si>
  <si>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</si>
  <si>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</si>
  <si>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</si>
  <si>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</si>
  <si>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</si>
  <si>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</si>
  <si>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</si>
  <si>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</si>
  <si>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</si>
  <si>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</si>
  <si>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</si>
  <si>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</si>
  <si>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</si>
  <si>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</si>
  <si>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</si>
  <si>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</si>
  <si>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</si>
  <si>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</si>
  <si>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</si>
  <si>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</si>
  <si>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</si>
  <si>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</si>
  <si>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</si>
  <si>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</si>
  <si>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</si>
  <si>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</si>
  <si>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</si>
  <si>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</si>
  <si>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</si>
  <si>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</si>
  <si>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</si>
  <si>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</si>
  <si>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</si>
  <si>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</si>
  <si>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</si>
  <si>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</si>
  <si>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</si>
  <si>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</si>
  <si>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</si>
  <si>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</si>
  <si>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</si>
  <si>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</si>
  <si>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</si>
  <si>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</si>
  <si>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</si>
  <si>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</si>
  <si>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</si>
  <si>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</si>
  <si>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</si>
  <si>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</si>
  <si>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</si>
  <si>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</si>
  <si>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</si>
  <si>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</si>
  <si>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</si>
  <si>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</si>
  <si>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</si>
  <si>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</si>
  <si>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</si>
  <si>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</si>
  <si>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</si>
  <si>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</si>
  <si>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</si>
  <si>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</si>
  <si>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</si>
  <si>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</si>
  <si>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</si>
  <si>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</si>
  <si>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</si>
  <si>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</si>
  <si>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</si>
  <si>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</si>
  <si>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</si>
  <si>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</si>
  <si>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</si>
  <si>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</si>
  <si>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</si>
  <si>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</si>
  <si>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</si>
  <si>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</si>
  <si>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</si>
  <si>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</si>
  <si>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</si>
  <si>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</si>
  <si>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</si>
  <si>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</si>
  <si>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</si>
  <si>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</si>
  <si>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</si>
  <si>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</si>
  <si>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</si>
  <si>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</si>
  <si>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</si>
  <si>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</si>
  <si>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</si>
  <si>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</si>
  <si>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</si>
  <si>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</si>
  <si>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</si>
  <si>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</si>
  <si>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</si>
  <si>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</si>
  <si>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</si>
  <si>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</si>
  <si>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</si>
  <si>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</si>
  <si>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</si>
  <si>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</si>
  <si>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</si>
  <si>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</si>
  <si>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</si>
  <si>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</si>
  <si>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</si>
  <si>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</si>
  <si>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</si>
  <si>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</si>
  <si>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</si>
  <si>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</si>
  <si>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</si>
  <si>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</si>
  <si>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</si>
  <si>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</si>
  <si>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</si>
  <si>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</si>
  <si>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</si>
  <si>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</si>
  <si>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</si>
  <si>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</si>
  <si>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</si>
  <si>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</si>
  <si>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</si>
  <si>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</si>
  <si>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</si>
  <si>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</si>
  <si>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</si>
  <si>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</si>
  <si>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</si>
  <si>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</si>
  <si>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</si>
  <si>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</si>
  <si>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</si>
  <si>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</si>
  <si>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</si>
  <si>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</si>
  <si>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</si>
  <si>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</si>
  <si>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</si>
  <si>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</si>
  <si>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</si>
  <si>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</si>
  <si>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</si>
  <si>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</si>
  <si>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</si>
  <si>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</si>
  <si>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</si>
  <si>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</si>
  <si>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</si>
  <si>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</si>
  <si>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</si>
  <si>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</si>
  <si>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</si>
  <si>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</si>
  <si>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</si>
  <si>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</si>
  <si>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</si>
  <si>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</si>
  <si>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</si>
  <si>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</si>
  <si>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</si>
  <si>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</si>
  <si>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</si>
  <si>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</si>
  <si>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</si>
  <si>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</si>
  <si>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</si>
  <si>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</si>
  <si>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</si>
  <si>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</si>
  <si>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</si>
  <si>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</si>
  <si>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</si>
  <si>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</si>
  <si>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</si>
  <si>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</si>
  <si>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</si>
  <si>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</si>
  <si>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</si>
  <si>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</si>
  <si>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</si>
  <si>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</si>
  <si>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</si>
  <si>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</si>
  <si>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</si>
  <si>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</si>
  <si>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</si>
  <si>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</si>
  <si>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</si>
  <si>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</si>
  <si>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</si>
  <si>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</si>
  <si>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</si>
  <si>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</si>
  <si>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</si>
  <si>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</si>
  <si>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</si>
  <si>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</si>
  <si>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</si>
  <si>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</si>
  <si>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</si>
  <si>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</si>
  <si>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</si>
  <si>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</si>
  <si>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</si>
  <si>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</si>
  <si>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</si>
  <si>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8/02</t>
  </si>
  <si>
    <t>8/04</t>
  </si>
  <si>
    <t>08/06</t>
  </si>
  <si>
    <t>11/10</t>
  </si>
  <si>
    <t>8/12</t>
  </si>
  <si>
    <t>8/14</t>
  </si>
  <si>
    <t>08/26</t>
  </si>
  <si>
    <t>7/25</t>
  </si>
  <si>
    <t>Other operating cost are up 8.6% or $300,432, capital improvements are an increase of $140,600.</t>
  </si>
  <si>
    <t xml:space="preserve">Cost per pupil rose from the prior year by 3%.  Wages and Fringe are up .6% or $145,296.  Utilities are down </t>
  </si>
  <si>
    <t>($80,212).  Out of district tuition costs were down 9.6% or ($73,187).</t>
  </si>
  <si>
    <t>We implemented a new districtwide curriculum for reading totaling $59,984.</t>
  </si>
  <si>
    <t>Voc Ed tuition was increased by $66,286.</t>
  </si>
  <si>
    <t>Kearsarge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</si>
</sst>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quotePrefix="1" applyNumberFormat="1" applyFont="1" applyAlignment="1" applyProtection="1">
      <alignment horizontal="center"/>
      <protection locked="0"/>
    </xf>
    <xf numFmtId="49" fontId="2" fillId="0" borderId="0" xfId="0" quotePrefix="1" applyNumberFormat="1" applyFont="1" applyAlignment="1" applyProtection="1">
      <alignment horizontal="center"/>
      <protection locked="0"/>
    </xf>
    <xf numFmtId="40" fontId="0" fillId="0" borderId="0" xfId="0" applyNumberForma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0" fontId="28" fillId="0" borderId="0" xfId="0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.2" customHeight="1" x14ac:dyDescent="0.2">
      <c r="A2" s="176" t="s">
        <v>922</v>
      </c>
      <c r="B2" s="21">
        <v>276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.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.2" customHeight="1" x14ac:dyDescent="0.15">
      <c r="A4" s="1" t="s">
        <v>279</v>
      </c>
      <c r="K4" s="13"/>
      <c r="L4" s="13"/>
    </row>
    <row r="5" spans="1:14" s="3" customFormat="1" ht="12.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.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.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1673651.6</v>
      </c>
      <c r="G9" s="18"/>
      <c r="H9" s="18"/>
      <c r="I9" s="18">
        <v>150637.26</v>
      </c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.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1488447.58</v>
      </c>
      <c r="G10" s="18">
        <v>515235.26</v>
      </c>
      <c r="H10" s="18"/>
      <c r="I10" s="18"/>
      <c r="J10" s="67">
        <f>SUM(I439)</f>
        <v>1750669.07</v>
      </c>
      <c r="K10" s="24" t="s">
        <v>289</v>
      </c>
      <c r="L10" s="24" t="s">
        <v>289</v>
      </c>
      <c r="M10" s="8"/>
      <c r="N10" s="270"/>
    </row>
    <row r="11" spans="1:14" s="3" customFormat="1" ht="12.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.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75701.87+685997.49+45732+276.67</f>
        <v>807708.03</v>
      </c>
      <c r="G12" s="18">
        <f>10702.9+26285.64</f>
        <v>36988.54</v>
      </c>
      <c r="H12" s="18">
        <f>147415.25+2737.44+6.83</f>
        <v>150159.51999999999</v>
      </c>
      <c r="I12" s="18"/>
      <c r="J12" s="67">
        <f>SUM(I440)</f>
        <v>2</v>
      </c>
      <c r="K12" s="24" t="s">
        <v>289</v>
      </c>
      <c r="L12" s="24" t="s">
        <v>289</v>
      </c>
      <c r="M12" s="8"/>
      <c r="N12" s="270"/>
    </row>
    <row r="13" spans="1:14" s="3" customFormat="1" ht="12.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334449.06-500+10000</f>
        <v>343949.06</v>
      </c>
      <c r="G13" s="18">
        <f>144255.47+276.67</f>
        <v>144532.14000000001</v>
      </c>
      <c r="H13" s="18">
        <f>101106.2+130926.32</f>
        <v>232032.52000000002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.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168.74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.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.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130632.88</v>
      </c>
      <c r="G16" s="18">
        <v>22395.34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.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17376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.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.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4461933.8899999997</v>
      </c>
      <c r="G19" s="41">
        <f>SUM(G9:G18)</f>
        <v>719151.28</v>
      </c>
      <c r="H19" s="41">
        <f>SUM(H9:H18)</f>
        <v>382192.04000000004</v>
      </c>
      <c r="I19" s="41">
        <f>SUM(I9:I18)</f>
        <v>150637.26</v>
      </c>
      <c r="J19" s="41">
        <f>SUM(J9:J18)</f>
        <v>1750671.07</v>
      </c>
      <c r="K19" s="45" t="s">
        <v>289</v>
      </c>
      <c r="L19" s="45" t="s">
        <v>289</v>
      </c>
      <c r="M19" s="8"/>
      <c r="N19" s="270"/>
    </row>
    <row r="20" spans="1:14" s="3" customFormat="1" ht="12.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.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.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147417.25</v>
      </c>
      <c r="G22" s="18">
        <f>685997.49+276.67</f>
        <v>686274.16</v>
      </c>
      <c r="H22" s="18">
        <f>6.83+26285.64+75701.87+13440.34</f>
        <v>115434.68</v>
      </c>
      <c r="I22" s="18">
        <v>45732</v>
      </c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.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.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118269.79</v>
      </c>
      <c r="G24" s="18"/>
      <c r="H24" s="18">
        <f>444.98</f>
        <v>444.98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.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.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.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.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1043645.84+57472.99</f>
        <v>1101118.83</v>
      </c>
      <c r="G28" s="18"/>
      <c r="H28" s="18">
        <f>25888.91</f>
        <v>25888.91</v>
      </c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.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0.68+1300+5720.07</f>
        <v>7020.75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.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447612.64</v>
      </c>
      <c r="G30" s="18">
        <v>10481.780000000001</v>
      </c>
      <c r="H30" s="18">
        <f>187948.98+18194.49</f>
        <v>206143.47</v>
      </c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.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.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1821439.2600000002</v>
      </c>
      <c r="G32" s="41">
        <f>SUM(G22:G31)</f>
        <v>696755.94000000006</v>
      </c>
      <c r="H32" s="41">
        <f>SUM(H22:H31)</f>
        <v>347912.04</v>
      </c>
      <c r="I32" s="41">
        <f>SUM(I22:I31)</f>
        <v>45732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.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.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.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f>130632.88</f>
        <v>130632.88</v>
      </c>
      <c r="G35" s="18">
        <v>22395.34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.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17376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.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.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.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.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.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.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.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.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.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697010.57</v>
      </c>
      <c r="G45" s="18"/>
      <c r="H45" s="18">
        <f>34280</f>
        <v>34280</v>
      </c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.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.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>
        <f>104777.4+127.86</f>
        <v>104905.26</v>
      </c>
      <c r="J47" s="13">
        <f>SUM(I458)</f>
        <v>1750671.07</v>
      </c>
      <c r="K47" s="24" t="s">
        <v>289</v>
      </c>
      <c r="L47" s="24" t="s">
        <v>289</v>
      </c>
      <c r="M47" s="8"/>
      <c r="N47" s="270"/>
    </row>
    <row r="48" spans="1:14" s="3" customFormat="1" ht="12.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.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1660574.1+124901.08+10000</f>
        <v>1795475.1800000002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.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2640494.63</v>
      </c>
      <c r="G50" s="41">
        <f>SUM(G35:G49)</f>
        <v>22395.34</v>
      </c>
      <c r="H50" s="41">
        <f>SUM(H35:H49)</f>
        <v>34280</v>
      </c>
      <c r="I50" s="41">
        <f>SUM(I35:I49)</f>
        <v>104905.26</v>
      </c>
      <c r="J50" s="41">
        <f>SUM(J35:J49)</f>
        <v>1750671.07</v>
      </c>
      <c r="K50" s="45" t="s">
        <v>289</v>
      </c>
      <c r="L50" s="45" t="s">
        <v>289</v>
      </c>
      <c r="N50" s="181"/>
    </row>
    <row r="51" spans="1:14" s="3" customFormat="1" ht="12.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4461933.8900000006</v>
      </c>
      <c r="G51" s="41">
        <f>G50+G32</f>
        <v>719151.28</v>
      </c>
      <c r="H51" s="41">
        <f>H50+H32</f>
        <v>382192.04</v>
      </c>
      <c r="I51" s="41">
        <f>I50+I32</f>
        <v>150637.26</v>
      </c>
      <c r="J51" s="41">
        <f>J50+J32</f>
        <v>1750671.07</v>
      </c>
      <c r="K51" s="45" t="s">
        <v>289</v>
      </c>
      <c r="L51" s="45" t="s">
        <v>289</v>
      </c>
      <c r="M51" s="8"/>
      <c r="N51" s="270"/>
    </row>
    <row r="52" spans="1:14" s="3" customFormat="1" ht="12.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.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.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.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.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21941512.99-499.99</f>
        <v>21941013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.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.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.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21941013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.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.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.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11404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.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.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.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.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.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7659.5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.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65450.44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.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.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.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.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.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.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.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.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.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272.77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.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84786.71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.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.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.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.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.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.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.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.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.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.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.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.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.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.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.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.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.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4326.4799999999996</v>
      </c>
      <c r="G95" s="18">
        <v>771.16</v>
      </c>
      <c r="H95" s="18"/>
      <c r="I95" s="18">
        <v>127.86</v>
      </c>
      <c r="J95" s="18">
        <v>13677.91</v>
      </c>
      <c r="K95" s="24" t="s">
        <v>289</v>
      </c>
      <c r="L95" s="24" t="s">
        <v>289</v>
      </c>
      <c r="M95" s="8"/>
      <c r="N95" s="270"/>
    </row>
    <row r="96" spans="1:14" s="3" customFormat="1" ht="12.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439456.26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.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.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5662.55</v>
      </c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.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.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10486.71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.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15500</v>
      </c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.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.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.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.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.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.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.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.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110569.94-0.01</f>
        <v>110569.93000000001</v>
      </c>
      <c r="G109" s="18">
        <f>33936.27+106463.47</f>
        <v>140399.74</v>
      </c>
      <c r="H109" s="18">
        <v>101106.2</v>
      </c>
      <c r="I109" s="18"/>
      <c r="J109" s="18">
        <v>13146.34</v>
      </c>
      <c r="K109" s="24" t="s">
        <v>289</v>
      </c>
      <c r="L109" s="24" t="s">
        <v>289</v>
      </c>
      <c r="M109" s="8"/>
      <c r="N109" s="270"/>
    </row>
    <row r="110" spans="1:14" ht="12.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131045.67000000001</v>
      </c>
      <c r="G110" s="41">
        <f>SUM(G95:G109)</f>
        <v>580627.15999999992</v>
      </c>
      <c r="H110" s="41">
        <f>SUM(H95:H109)</f>
        <v>116606.2</v>
      </c>
      <c r="I110" s="41">
        <f>SUM(I95:I109)</f>
        <v>127.86</v>
      </c>
      <c r="J110" s="41">
        <f>SUM(J95:J109)</f>
        <v>26824.25</v>
      </c>
      <c r="K110" s="45" t="s">
        <v>289</v>
      </c>
      <c r="L110" s="45" t="s">
        <v>289</v>
      </c>
      <c r="N110" s="181"/>
    </row>
    <row r="111" spans="1:14" s="3" customFormat="1" ht="12.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22156845.380000003</v>
      </c>
      <c r="G111" s="41">
        <f>G59+G110</f>
        <v>580627.15999999992</v>
      </c>
      <c r="H111" s="41">
        <f>H59+H78+H93+H110</f>
        <v>116606.2</v>
      </c>
      <c r="I111" s="41">
        <f>I59+I110</f>
        <v>127.86</v>
      </c>
      <c r="J111" s="41">
        <f>J59+J110</f>
        <v>26824.25</v>
      </c>
      <c r="K111" s="45" t="s">
        <v>289</v>
      </c>
      <c r="L111" s="45" t="s">
        <v>289</v>
      </c>
      <c r="M111" s="8"/>
      <c r="N111" s="270"/>
    </row>
    <row r="112" spans="1:14" s="3" customFormat="1" ht="12.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.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.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.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.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2831596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.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7137962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.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.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.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9969558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.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.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f>1143719.37+10000</f>
        <v>1153719.3700000001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.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.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.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331141.44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.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.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10927.73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.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.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.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.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6000+276.67</f>
        <v>6276.67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.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.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.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.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1495788.54</v>
      </c>
      <c r="G135" s="41">
        <f>SUM(G122:G134)</f>
        <v>6276.67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.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.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.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.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11465346.539999999</v>
      </c>
      <c r="G139" s="41">
        <f>G120+SUM(G135:G136)</f>
        <v>6276.67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.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.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.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.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.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.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.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.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.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.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.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.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.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.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230649.98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.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175180.84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.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.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46087.87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.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177330.56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.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405105.63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.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195758.9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.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.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195758.9</v>
      </c>
      <c r="G161" s="41">
        <f>SUM(G149:G160)</f>
        <v>177330.56</v>
      </c>
      <c r="H161" s="41">
        <f>SUM(H149:H160)</f>
        <v>857024.32000000007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.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.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.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.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.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.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.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195758.9</v>
      </c>
      <c r="G168" s="41">
        <f>G146+G161+SUM(G162:G167)</f>
        <v>177330.56</v>
      </c>
      <c r="H168" s="41">
        <f>H146+H161+SUM(H162:H167)</f>
        <v>857024.32000000007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.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.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.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.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.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.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.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79733.539999999994</v>
      </c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.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79733.539999999994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.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.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f>14217.7-276.67</f>
        <v>13941.03</v>
      </c>
      <c r="H178" s="18"/>
      <c r="I178" s="18"/>
      <c r="J178" s="18">
        <v>75000</v>
      </c>
      <c r="K178" s="24" t="s">
        <v>289</v>
      </c>
      <c r="L178" s="24" t="s">
        <v>289</v>
      </c>
      <c r="M178" s="8"/>
      <c r="N178" s="270"/>
    </row>
    <row r="179" spans="1:14" s="3" customFormat="1" ht="12.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.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.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.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13941.03</v>
      </c>
      <c r="H182" s="41">
        <f>SUM(H178:H181)</f>
        <v>0</v>
      </c>
      <c r="I182" s="41">
        <f>SUM(I178:I181)</f>
        <v>0</v>
      </c>
      <c r="J182" s="41">
        <f>SUM(J178:J181)</f>
        <v>75000</v>
      </c>
      <c r="K182" s="45" t="s">
        <v>289</v>
      </c>
      <c r="L182" s="45" t="s">
        <v>289</v>
      </c>
      <c r="M182" s="8"/>
      <c r="N182" s="270"/>
    </row>
    <row r="183" spans="1:14" s="3" customFormat="1" ht="12.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.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.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.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.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.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.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.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.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79733.539999999994</v>
      </c>
      <c r="G191" s="41">
        <f>G182+SUM(G187:G190)</f>
        <v>13941.03</v>
      </c>
      <c r="H191" s="41">
        <f>+H182+SUM(H187:H190)</f>
        <v>0</v>
      </c>
      <c r="I191" s="41">
        <f>I176+I182+SUM(I187:I190)</f>
        <v>0</v>
      </c>
      <c r="J191" s="41">
        <f>J182</f>
        <v>75000</v>
      </c>
      <c r="K191" s="45" t="s">
        <v>289</v>
      </c>
      <c r="L191" s="45" t="s">
        <v>289</v>
      </c>
      <c r="M191" s="8"/>
      <c r="N191" s="270"/>
    </row>
    <row r="192" spans="1:14" s="3" customFormat="1" ht="12.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33897684.359999999</v>
      </c>
      <c r="G192" s="47">
        <f>G111+G139+G168+G191</f>
        <v>778175.41999999993</v>
      </c>
      <c r="H192" s="47">
        <f>H111+H139+H168+H191</f>
        <v>973630.52</v>
      </c>
      <c r="I192" s="47">
        <f>I111+I139+I168+I191</f>
        <v>127.86</v>
      </c>
      <c r="J192" s="47">
        <f>J111+J139+J191</f>
        <v>101824.25</v>
      </c>
      <c r="K192" s="45" t="s">
        <v>289</v>
      </c>
      <c r="L192" s="45" t="s">
        <v>289</v>
      </c>
      <c r="M192" s="8"/>
      <c r="N192" s="270"/>
    </row>
    <row r="193" spans="1:14" s="3" customFormat="1" ht="12.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.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.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.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2970481.74</v>
      </c>
      <c r="G196" s="18">
        <v>1570446.04</v>
      </c>
      <c r="H196" s="18">
        <v>164034.84</v>
      </c>
      <c r="I196" s="18">
        <v>210605.19</v>
      </c>
      <c r="J196" s="18">
        <v>63002.98</v>
      </c>
      <c r="K196" s="18"/>
      <c r="L196" s="19">
        <f>SUM(F196:K196)</f>
        <v>4978570.790000001</v>
      </c>
      <c r="M196" s="8"/>
      <c r="N196" s="270"/>
    </row>
    <row r="197" spans="1:14" s="3" customFormat="1" ht="12.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1697254.56</v>
      </c>
      <c r="G197" s="18">
        <v>545643.62</v>
      </c>
      <c r="H197" s="18">
        <v>329198.93</v>
      </c>
      <c r="I197" s="18">
        <v>21748.58</v>
      </c>
      <c r="J197" s="18"/>
      <c r="K197" s="18"/>
      <c r="L197" s="19">
        <f>SUM(F197:K197)</f>
        <v>2593845.6900000004</v>
      </c>
      <c r="M197" s="8"/>
      <c r="N197" s="270"/>
    </row>
    <row r="198" spans="1:14" s="3" customFormat="1" ht="12.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.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>
        <v>200</v>
      </c>
      <c r="J199" s="18"/>
      <c r="K199" s="18"/>
      <c r="L199" s="19">
        <f>SUM(F199:K199)</f>
        <v>200</v>
      </c>
      <c r="M199" s="8"/>
      <c r="N199" s="270"/>
    </row>
    <row r="200" spans="1:14" s="3" customFormat="1" ht="12.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.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408416.66</v>
      </c>
      <c r="G201" s="18">
        <v>166202.42000000001</v>
      </c>
      <c r="H201" s="18">
        <v>670.12</v>
      </c>
      <c r="I201" s="18">
        <v>3939.41</v>
      </c>
      <c r="J201" s="18"/>
      <c r="K201" s="18"/>
      <c r="L201" s="19">
        <f t="shared" ref="L201:L207" si="0">SUM(F201:K201)</f>
        <v>579228.61</v>
      </c>
      <c r="M201" s="8"/>
      <c r="N201" s="270"/>
    </row>
    <row r="202" spans="1:14" s="3" customFormat="1" ht="12.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110953.2</v>
      </c>
      <c r="G202" s="18">
        <v>71375.759999999995</v>
      </c>
      <c r="H202" s="18">
        <v>21766.22</v>
      </c>
      <c r="I202" s="18">
        <v>14904.12</v>
      </c>
      <c r="J202" s="18">
        <v>829.1</v>
      </c>
      <c r="K202" s="18"/>
      <c r="L202" s="19">
        <f t="shared" si="0"/>
        <v>219828.4</v>
      </c>
      <c r="M202" s="8"/>
      <c r="N202" s="270"/>
    </row>
    <row r="203" spans="1:14" s="3" customFormat="1" ht="12.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468597.22</v>
      </c>
      <c r="G203" s="18">
        <v>142730.46</v>
      </c>
      <c r="H203" s="18">
        <v>104364.18</v>
      </c>
      <c r="I203" s="18">
        <v>9921.83</v>
      </c>
      <c r="J203" s="18">
        <v>23791.23</v>
      </c>
      <c r="K203" s="18">
        <v>8293.39</v>
      </c>
      <c r="L203" s="19">
        <f t="shared" si="0"/>
        <v>757698.30999999982</v>
      </c>
      <c r="M203" s="8"/>
      <c r="N203" s="270"/>
    </row>
    <row r="204" spans="1:14" s="3" customFormat="1" ht="12.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459312.1</v>
      </c>
      <c r="G204" s="18">
        <v>185745.8</v>
      </c>
      <c r="H204" s="18">
        <v>29593.01</v>
      </c>
      <c r="I204" s="18">
        <v>1911.26</v>
      </c>
      <c r="J204" s="18">
        <v>399.95</v>
      </c>
      <c r="K204" s="18">
        <v>1842.4</v>
      </c>
      <c r="L204" s="19">
        <f t="shared" si="0"/>
        <v>678804.5199999999</v>
      </c>
      <c r="M204" s="8"/>
      <c r="N204" s="270"/>
    </row>
    <row r="205" spans="1:14" s="3" customFormat="1" ht="12.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.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293057.89</v>
      </c>
      <c r="G206" s="18">
        <v>137561.41</v>
      </c>
      <c r="H206" s="18">
        <v>636403.67000000004</v>
      </c>
      <c r="I206" s="18">
        <v>291315.52</v>
      </c>
      <c r="J206" s="18">
        <v>41081.620000000003</v>
      </c>
      <c r="K206" s="18"/>
      <c r="L206" s="19">
        <f t="shared" si="0"/>
        <v>1399420.1100000003</v>
      </c>
      <c r="M206" s="8"/>
      <c r="N206" s="270"/>
    </row>
    <row r="207" spans="1:14" s="3" customFormat="1" ht="12.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954565.17</v>
      </c>
      <c r="I207" s="18">
        <v>126440.6</v>
      </c>
      <c r="J207" s="18"/>
      <c r="K207" s="18"/>
      <c r="L207" s="19">
        <f t="shared" si="0"/>
        <v>1081005.77</v>
      </c>
      <c r="M207" s="8"/>
      <c r="N207" s="270"/>
    </row>
    <row r="208" spans="1:14" s="3" customFormat="1" ht="12.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.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.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6408073.3700000001</v>
      </c>
      <c r="G210" s="41">
        <f t="shared" si="1"/>
        <v>2819705.51</v>
      </c>
      <c r="H210" s="41">
        <f t="shared" si="1"/>
        <v>2240596.14</v>
      </c>
      <c r="I210" s="41">
        <f t="shared" si="1"/>
        <v>680986.51</v>
      </c>
      <c r="J210" s="41">
        <f t="shared" si="1"/>
        <v>129104.88</v>
      </c>
      <c r="K210" s="41">
        <f t="shared" si="1"/>
        <v>10135.789999999999</v>
      </c>
      <c r="L210" s="41">
        <f t="shared" si="1"/>
        <v>12288602.200000003</v>
      </c>
      <c r="M210" s="8"/>
      <c r="N210" s="270"/>
    </row>
    <row r="211" spans="1:14" s="3" customFormat="1" ht="12.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.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.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.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3131350.47</v>
      </c>
      <c r="G214" s="18">
        <v>1019623.25</v>
      </c>
      <c r="H214" s="18">
        <v>92697.3</v>
      </c>
      <c r="I214" s="18">
        <v>57000.35</v>
      </c>
      <c r="J214" s="18">
        <v>36313.83</v>
      </c>
      <c r="K214" s="18">
        <v>475</v>
      </c>
      <c r="L214" s="19">
        <f>SUM(F214:K214)</f>
        <v>4337460.2</v>
      </c>
      <c r="M214" s="8"/>
      <c r="N214" s="270"/>
    </row>
    <row r="215" spans="1:14" s="3" customFormat="1" ht="12.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930244.38</v>
      </c>
      <c r="G215" s="18">
        <v>214581.82</v>
      </c>
      <c r="H215" s="18">
        <v>98544.639999999999</v>
      </c>
      <c r="I215" s="18">
        <v>7246.41</v>
      </c>
      <c r="J215" s="18"/>
      <c r="K215" s="18">
        <v>2422</v>
      </c>
      <c r="L215" s="19">
        <f>SUM(F215:K215)</f>
        <v>1253039.2499999998</v>
      </c>
      <c r="M215" s="8"/>
      <c r="N215" s="270"/>
    </row>
    <row r="216" spans="1:14" s="3" customFormat="1" ht="12.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.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85469</v>
      </c>
      <c r="G217" s="18">
        <v>22102.05</v>
      </c>
      <c r="H217" s="18">
        <v>7370</v>
      </c>
      <c r="I217" s="18">
        <v>978.5</v>
      </c>
      <c r="J217" s="18">
        <v>2997.1</v>
      </c>
      <c r="K217" s="18">
        <v>945</v>
      </c>
      <c r="L217" s="19">
        <f>SUM(F217:K217)</f>
        <v>119861.65000000001</v>
      </c>
      <c r="M217" s="8"/>
      <c r="N217" s="270"/>
    </row>
    <row r="218" spans="1:14" s="3" customFormat="1" ht="12.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.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246937.26</v>
      </c>
      <c r="G219" s="18">
        <v>106911.25</v>
      </c>
      <c r="H219" s="18">
        <v>2968.04</v>
      </c>
      <c r="I219" s="18">
        <v>2508.19</v>
      </c>
      <c r="J219" s="18"/>
      <c r="K219" s="18"/>
      <c r="L219" s="19">
        <f t="shared" ref="L219:L225" si="2">SUM(F219:K219)</f>
        <v>359324.74</v>
      </c>
      <c r="M219" s="8"/>
      <c r="N219" s="270"/>
    </row>
    <row r="220" spans="1:14" s="3" customFormat="1" ht="12.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65353</v>
      </c>
      <c r="G220" s="18">
        <v>46246.53</v>
      </c>
      <c r="H220" s="18">
        <v>14090.66</v>
      </c>
      <c r="I220" s="18">
        <v>6722.77</v>
      </c>
      <c r="J220" s="18"/>
      <c r="K220" s="18"/>
      <c r="L220" s="19">
        <f t="shared" si="2"/>
        <v>132412.96</v>
      </c>
      <c r="M220" s="8"/>
      <c r="N220" s="270"/>
    </row>
    <row r="221" spans="1:14" s="3" customFormat="1" ht="12.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255598.49</v>
      </c>
      <c r="G221" s="18">
        <v>77852.97</v>
      </c>
      <c r="H221" s="18">
        <v>56925.94</v>
      </c>
      <c r="I221" s="18">
        <v>5411.91</v>
      </c>
      <c r="J221" s="18">
        <v>12977.02</v>
      </c>
      <c r="K221" s="18">
        <v>4523.68</v>
      </c>
      <c r="L221" s="19">
        <f t="shared" si="2"/>
        <v>413290.00999999995</v>
      </c>
      <c r="M221" s="8"/>
      <c r="N221" s="270"/>
    </row>
    <row r="222" spans="1:14" s="3" customFormat="1" ht="12.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258688.49</v>
      </c>
      <c r="G222" s="18">
        <v>129818.06</v>
      </c>
      <c r="H222" s="18">
        <v>19847.57</v>
      </c>
      <c r="I222" s="18"/>
      <c r="J222" s="18"/>
      <c r="K222" s="18">
        <v>2550</v>
      </c>
      <c r="L222" s="19">
        <f t="shared" si="2"/>
        <v>410904.12</v>
      </c>
      <c r="M222" s="8"/>
      <c r="N222" s="270"/>
    </row>
    <row r="223" spans="1:14" s="3" customFormat="1" ht="12.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.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186521.21</v>
      </c>
      <c r="G224" s="18">
        <v>77681.48</v>
      </c>
      <c r="H224" s="18">
        <v>301967.12</v>
      </c>
      <c r="I224" s="18">
        <v>240519.47</v>
      </c>
      <c r="J224" s="18">
        <v>11463.75</v>
      </c>
      <c r="K224" s="18"/>
      <c r="L224" s="19">
        <f t="shared" si="2"/>
        <v>818153.03</v>
      </c>
      <c r="M224" s="8"/>
      <c r="N224" s="270"/>
    </row>
    <row r="225" spans="1:14" s="3" customFormat="1" ht="12.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525892.6</v>
      </c>
      <c r="I225" s="18">
        <v>68967.600000000006</v>
      </c>
      <c r="J225" s="18"/>
      <c r="K225" s="18"/>
      <c r="L225" s="19">
        <f t="shared" si="2"/>
        <v>594860.19999999995</v>
      </c>
      <c r="M225" s="8"/>
      <c r="N225" s="270"/>
    </row>
    <row r="226" spans="1:14" s="3" customFormat="1" ht="12.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.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.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5160162.3000000007</v>
      </c>
      <c r="G228" s="41">
        <f>SUM(G214:G227)</f>
        <v>1694817.4100000001</v>
      </c>
      <c r="H228" s="41">
        <f>SUM(H214:H227)</f>
        <v>1120303.8700000001</v>
      </c>
      <c r="I228" s="41">
        <f>SUM(I214:I227)</f>
        <v>389355.19999999995</v>
      </c>
      <c r="J228" s="41">
        <f>SUM(J214:J227)</f>
        <v>63751.7</v>
      </c>
      <c r="K228" s="41">
        <f t="shared" si="3"/>
        <v>10915.68</v>
      </c>
      <c r="L228" s="41">
        <f t="shared" si="3"/>
        <v>8439306.1600000001</v>
      </c>
      <c r="M228" s="8"/>
      <c r="N228" s="270"/>
    </row>
    <row r="229" spans="1:14" s="3" customFormat="1" ht="12.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.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.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.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2796529.54</v>
      </c>
      <c r="G232" s="18">
        <v>1293099.0900000001</v>
      </c>
      <c r="H232" s="18">
        <v>132680.54</v>
      </c>
      <c r="I232" s="18">
        <v>118072.84</v>
      </c>
      <c r="J232" s="18">
        <v>122737.56</v>
      </c>
      <c r="K232" s="18">
        <v>10305.719999999999</v>
      </c>
      <c r="L232" s="19">
        <f>SUM(F232:K232)</f>
        <v>4473425.2899999991</v>
      </c>
      <c r="M232" s="8"/>
      <c r="N232" s="270"/>
    </row>
    <row r="233" spans="1:14" s="3" customFormat="1" ht="12.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697096.26</v>
      </c>
      <c r="G233" s="18">
        <v>197308.89</v>
      </c>
      <c r="H233" s="18">
        <v>535537.56000000006</v>
      </c>
      <c r="I233" s="18">
        <v>14488.92</v>
      </c>
      <c r="J233" s="18">
        <v>1468.11</v>
      </c>
      <c r="K233" s="18"/>
      <c r="L233" s="19">
        <f>SUM(F233:K233)</f>
        <v>1445899.74</v>
      </c>
      <c r="M233" s="8"/>
      <c r="N233" s="270"/>
    </row>
    <row r="234" spans="1:14" s="3" customFormat="1" ht="12.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66286.55</v>
      </c>
      <c r="I234" s="18"/>
      <c r="J234" s="18"/>
      <c r="K234" s="18"/>
      <c r="L234" s="19">
        <f>SUM(F234:K234)</f>
        <v>66286.55</v>
      </c>
      <c r="M234" s="8"/>
      <c r="N234" s="270"/>
    </row>
    <row r="235" spans="1:14" s="3" customFormat="1" ht="12.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167777</v>
      </c>
      <c r="G235" s="18">
        <v>24940.73</v>
      </c>
      <c r="H235" s="18">
        <v>61200.85</v>
      </c>
      <c r="I235" s="18">
        <v>28095.35</v>
      </c>
      <c r="J235" s="18">
        <v>19736.080000000002</v>
      </c>
      <c r="K235" s="18">
        <v>13411.95</v>
      </c>
      <c r="L235" s="19">
        <f>SUM(F235:K235)</f>
        <v>315161.96000000002</v>
      </c>
      <c r="M235" s="8"/>
      <c r="N235" s="270"/>
    </row>
    <row r="236" spans="1:14" s="3" customFormat="1" ht="12.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.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339798.51</v>
      </c>
      <c r="G237" s="18">
        <v>117907.16</v>
      </c>
      <c r="H237" s="18">
        <v>2240</v>
      </c>
      <c r="I237" s="18">
        <v>6520.63</v>
      </c>
      <c r="J237" s="18">
        <v>270</v>
      </c>
      <c r="K237" s="18"/>
      <c r="L237" s="19">
        <f t="shared" ref="L237:L243" si="4">SUM(F237:K237)</f>
        <v>466736.30000000005</v>
      </c>
      <c r="M237" s="8"/>
      <c r="N237" s="270"/>
    </row>
    <row r="238" spans="1:14" s="3" customFormat="1" ht="12.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129404.74</v>
      </c>
      <c r="G238" s="18">
        <v>62881.94</v>
      </c>
      <c r="H238" s="18">
        <v>16479.439999999999</v>
      </c>
      <c r="I238" s="18">
        <v>29584.25</v>
      </c>
      <c r="J238" s="18">
        <v>5888.98</v>
      </c>
      <c r="K238" s="18"/>
      <c r="L238" s="19">
        <f t="shared" si="4"/>
        <v>244239.35</v>
      </c>
      <c r="M238" s="8"/>
      <c r="N238" s="270"/>
    </row>
    <row r="239" spans="1:14" s="3" customFormat="1" ht="12.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340797.97</v>
      </c>
      <c r="G239" s="18">
        <v>103803.97</v>
      </c>
      <c r="H239" s="18">
        <v>75901.22</v>
      </c>
      <c r="I239" s="18">
        <v>7215.88</v>
      </c>
      <c r="J239" s="18">
        <v>17302.71</v>
      </c>
      <c r="K239" s="18">
        <v>6031.55</v>
      </c>
      <c r="L239" s="19">
        <f t="shared" si="4"/>
        <v>551053.29999999993</v>
      </c>
      <c r="M239" s="8"/>
      <c r="N239" s="270"/>
    </row>
    <row r="240" spans="1:14" s="3" customFormat="1" ht="12.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363564.74</v>
      </c>
      <c r="G240" s="18">
        <v>165904.71</v>
      </c>
      <c r="H240" s="18">
        <v>40513.660000000003</v>
      </c>
      <c r="I240" s="18">
        <v>13941.26</v>
      </c>
      <c r="J240" s="18"/>
      <c r="K240" s="18">
        <v>8744.4500000000007</v>
      </c>
      <c r="L240" s="19">
        <f t="shared" si="4"/>
        <v>592668.81999999995</v>
      </c>
      <c r="M240" s="8"/>
      <c r="N240" s="270"/>
    </row>
    <row r="241" spans="1:14" s="3" customFormat="1" ht="12.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.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244055.41</v>
      </c>
      <c r="G242" s="18">
        <v>115486.34</v>
      </c>
      <c r="H242" s="18">
        <v>619861.04</v>
      </c>
      <c r="I242" s="18">
        <v>322859.32</v>
      </c>
      <c r="J242" s="18">
        <v>14217.1</v>
      </c>
      <c r="K242" s="18"/>
      <c r="L242" s="19">
        <f t="shared" si="4"/>
        <v>1316479.2100000002</v>
      </c>
      <c r="M242" s="8"/>
      <c r="N242" s="270"/>
    </row>
    <row r="243" spans="1:14" s="3" customFormat="1" ht="12.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781328.26</v>
      </c>
      <c r="I243" s="18">
        <v>91956.800000000003</v>
      </c>
      <c r="J243" s="18"/>
      <c r="K243" s="18"/>
      <c r="L243" s="19">
        <f t="shared" si="4"/>
        <v>873285.06</v>
      </c>
      <c r="M243" s="8"/>
      <c r="N243" s="270"/>
    </row>
    <row r="244" spans="1:14" s="3" customFormat="1" ht="12.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.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.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5079024.17</v>
      </c>
      <c r="G246" s="41">
        <f t="shared" si="5"/>
        <v>2081332.8299999998</v>
      </c>
      <c r="H246" s="41">
        <f t="shared" si="5"/>
        <v>2332029.12</v>
      </c>
      <c r="I246" s="41">
        <f t="shared" si="5"/>
        <v>632735.25000000012</v>
      </c>
      <c r="J246" s="41">
        <f t="shared" si="5"/>
        <v>181620.54</v>
      </c>
      <c r="K246" s="41">
        <f t="shared" si="5"/>
        <v>38493.67</v>
      </c>
      <c r="L246" s="41">
        <f t="shared" si="5"/>
        <v>10345235.58</v>
      </c>
      <c r="M246" s="8"/>
      <c r="N246" s="270"/>
    </row>
    <row r="247" spans="1:14" s="3" customFormat="1" ht="12.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.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.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.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11912.5</v>
      </c>
      <c r="G250" s="18">
        <v>2254.34</v>
      </c>
      <c r="H250" s="18"/>
      <c r="I250" s="18"/>
      <c r="J250" s="18"/>
      <c r="K250" s="18"/>
      <c r="L250" s="19">
        <f t="shared" si="6"/>
        <v>14166.84</v>
      </c>
      <c r="M250" s="8"/>
      <c r="N250" s="270"/>
    </row>
    <row r="251" spans="1:14" s="3" customFormat="1" ht="12.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.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.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.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.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11912.5</v>
      </c>
      <c r="G255" s="41">
        <f t="shared" si="7"/>
        <v>2254.34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14166.84</v>
      </c>
      <c r="M255" s="8"/>
      <c r="N255" s="270"/>
    </row>
    <row r="256" spans="1:14" s="3" customFormat="1" ht="12.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16659172.340000002</v>
      </c>
      <c r="G256" s="41">
        <f t="shared" si="8"/>
        <v>6598110.0899999999</v>
      </c>
      <c r="H256" s="41">
        <f t="shared" si="8"/>
        <v>5692929.1300000008</v>
      </c>
      <c r="I256" s="41">
        <f t="shared" si="8"/>
        <v>1703076.96</v>
      </c>
      <c r="J256" s="41">
        <f t="shared" si="8"/>
        <v>374477.12</v>
      </c>
      <c r="K256" s="41">
        <f t="shared" si="8"/>
        <v>59545.14</v>
      </c>
      <c r="L256" s="41">
        <f t="shared" si="8"/>
        <v>31087310.780000005</v>
      </c>
      <c r="M256" s="8"/>
      <c r="N256" s="270"/>
    </row>
    <row r="257" spans="1:14" s="3" customFormat="1" ht="12.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.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.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1893063.22</v>
      </c>
      <c r="L259" s="19">
        <f>SUM(F259:K259)</f>
        <v>1893063.22</v>
      </c>
      <c r="M259" s="8"/>
      <c r="N259" s="270"/>
    </row>
    <row r="260" spans="1:14" ht="12.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693468.25</v>
      </c>
      <c r="L260" s="19">
        <f>SUM(F260:K260)</f>
        <v>693468.25</v>
      </c>
      <c r="N260" s="181"/>
    </row>
    <row r="261" spans="1:14" ht="12.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.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f>14217.7-276.67</f>
        <v>13941.03</v>
      </c>
      <c r="L262" s="19">
        <f>SUM(F262:K262)</f>
        <v>13941.03</v>
      </c>
      <c r="N262" s="181"/>
    </row>
    <row r="263" spans="1:14" ht="12.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.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.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75000</v>
      </c>
      <c r="L265" s="19">
        <f t="shared" si="9"/>
        <v>75000</v>
      </c>
      <c r="N265" s="181"/>
    </row>
    <row r="266" spans="1:14" ht="12.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.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.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.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2675472.4999999995</v>
      </c>
      <c r="L269" s="41">
        <f t="shared" si="9"/>
        <v>2675472.4999999995</v>
      </c>
      <c r="N269" s="181"/>
    </row>
    <row r="270" spans="1:14" s="3" customFormat="1" ht="12.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16659172.340000002</v>
      </c>
      <c r="G270" s="42">
        <f t="shared" si="11"/>
        <v>6598110.0899999999</v>
      </c>
      <c r="H270" s="42">
        <f t="shared" si="11"/>
        <v>5692929.1300000008</v>
      </c>
      <c r="I270" s="42">
        <f t="shared" si="11"/>
        <v>1703076.96</v>
      </c>
      <c r="J270" s="42">
        <f t="shared" si="11"/>
        <v>374477.12</v>
      </c>
      <c r="K270" s="42">
        <f t="shared" si="11"/>
        <v>2735017.6399999997</v>
      </c>
      <c r="L270" s="42">
        <f t="shared" si="11"/>
        <v>33762783.280000001</v>
      </c>
      <c r="M270" s="8"/>
      <c r="N270" s="270"/>
    </row>
    <row r="271" spans="1:14" s="34" customFormat="1" ht="12.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.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.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.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.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152849.82</v>
      </c>
      <c r="G275" s="18">
        <v>44293.61</v>
      </c>
      <c r="H275" s="18">
        <v>57129.59</v>
      </c>
      <c r="I275" s="18">
        <v>7163.65</v>
      </c>
      <c r="J275" s="18">
        <v>18587.36</v>
      </c>
      <c r="K275" s="18"/>
      <c r="L275" s="19">
        <f>SUM(F275:K275)</f>
        <v>280024.02999999997</v>
      </c>
      <c r="M275" s="8"/>
      <c r="N275" s="270"/>
    </row>
    <row r="276" spans="1:14" s="3" customFormat="1" ht="12.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74932.44</v>
      </c>
      <c r="G276" s="18">
        <v>31312.32</v>
      </c>
      <c r="H276" s="18">
        <v>11025</v>
      </c>
      <c r="I276" s="18">
        <v>2032.28</v>
      </c>
      <c r="J276" s="18">
        <v>5002.8</v>
      </c>
      <c r="K276" s="18"/>
      <c r="L276" s="19">
        <f>SUM(F276:K276)</f>
        <v>124304.84000000001</v>
      </c>
      <c r="M276" s="8"/>
      <c r="N276" s="270"/>
    </row>
    <row r="277" spans="1:14" s="3" customFormat="1" ht="12.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.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7700</v>
      </c>
      <c r="G278" s="18">
        <v>834.1</v>
      </c>
      <c r="H278" s="18"/>
      <c r="I278" s="18"/>
      <c r="J278" s="18"/>
      <c r="K278" s="18"/>
      <c r="L278" s="19">
        <f>SUM(F278:K278)</f>
        <v>8534.1</v>
      </c>
      <c r="M278" s="8"/>
      <c r="N278" s="270"/>
    </row>
    <row r="279" spans="1:14" s="3" customFormat="1" ht="12.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.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51533.45</v>
      </c>
      <c r="G280" s="18">
        <v>8023.84</v>
      </c>
      <c r="H280" s="18"/>
      <c r="I280" s="18">
        <v>16229.46</v>
      </c>
      <c r="J280" s="18">
        <v>16462.88</v>
      </c>
      <c r="K280" s="18"/>
      <c r="L280" s="19">
        <f t="shared" ref="L280:L286" si="12">SUM(F280:K280)</f>
        <v>92249.63</v>
      </c>
      <c r="M280" s="8"/>
      <c r="N280" s="270"/>
    </row>
    <row r="281" spans="1:14" s="3" customFormat="1" ht="12.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23259.03</v>
      </c>
      <c r="G281" s="18">
        <v>8378.09</v>
      </c>
      <c r="H281" s="18">
        <v>6653.75</v>
      </c>
      <c r="I281" s="18">
        <v>2191.5</v>
      </c>
      <c r="J281" s="18"/>
      <c r="K281" s="18"/>
      <c r="L281" s="19">
        <f t="shared" si="12"/>
        <v>40482.369999999995</v>
      </c>
      <c r="M281" s="8"/>
      <c r="N281" s="270"/>
    </row>
    <row r="282" spans="1:14" s="3" customFormat="1" ht="12.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v>7741.92</v>
      </c>
      <c r="I282" s="18"/>
      <c r="J282" s="18"/>
      <c r="K282" s="18"/>
      <c r="L282" s="19">
        <f t="shared" si="12"/>
        <v>7741.92</v>
      </c>
      <c r="M282" s="8"/>
      <c r="N282" s="270"/>
    </row>
    <row r="283" spans="1:14" s="3" customFormat="1" ht="12.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.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.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.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.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>
        <v>17617.46</v>
      </c>
      <c r="L287" s="19">
        <f>SUM(F287:K287)</f>
        <v>17617.46</v>
      </c>
      <c r="M287" s="8"/>
      <c r="N287" s="270"/>
    </row>
    <row r="288" spans="1:14" s="3" customFormat="1" ht="12.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.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310274.74</v>
      </c>
      <c r="G289" s="42">
        <f t="shared" si="13"/>
        <v>92841.959999999992</v>
      </c>
      <c r="H289" s="42">
        <f t="shared" si="13"/>
        <v>82550.259999999995</v>
      </c>
      <c r="I289" s="42">
        <f t="shared" si="13"/>
        <v>27616.89</v>
      </c>
      <c r="J289" s="42">
        <f t="shared" si="13"/>
        <v>40053.040000000001</v>
      </c>
      <c r="K289" s="42">
        <f t="shared" si="13"/>
        <v>17617.46</v>
      </c>
      <c r="L289" s="41">
        <f t="shared" si="13"/>
        <v>570954.35</v>
      </c>
      <c r="M289" s="8"/>
      <c r="N289" s="270"/>
    </row>
    <row r="290" spans="1:14" s="3" customFormat="1" ht="12.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.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.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.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.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>
        <v>613.54</v>
      </c>
      <c r="I294" s="18">
        <v>3089.59</v>
      </c>
      <c r="J294" s="18">
        <v>11618.76</v>
      </c>
      <c r="K294" s="18"/>
      <c r="L294" s="19">
        <f>SUM(F294:K294)</f>
        <v>15321.89</v>
      </c>
      <c r="M294" s="8"/>
      <c r="N294" s="270"/>
    </row>
    <row r="295" spans="1:14" s="3" customFormat="1" ht="12.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40872.239999999998</v>
      </c>
      <c r="G295" s="18">
        <v>14656.82</v>
      </c>
      <c r="H295" s="18"/>
      <c r="I295" s="18">
        <v>951.29</v>
      </c>
      <c r="J295" s="18">
        <v>2728.8</v>
      </c>
      <c r="K295" s="18"/>
      <c r="L295" s="19">
        <f>SUM(F295:K295)</f>
        <v>59209.15</v>
      </c>
      <c r="M295" s="8"/>
      <c r="N295" s="270"/>
    </row>
    <row r="296" spans="1:14" s="3" customFormat="1" ht="12.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.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.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.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24122.04</v>
      </c>
      <c r="G299" s="18">
        <v>3755.85</v>
      </c>
      <c r="H299" s="18"/>
      <c r="I299" s="18"/>
      <c r="J299" s="18"/>
      <c r="K299" s="18"/>
      <c r="L299" s="19">
        <f t="shared" ref="L299:L305" si="14">SUM(F299:K299)</f>
        <v>27877.89</v>
      </c>
      <c r="M299" s="8"/>
      <c r="N299" s="270"/>
    </row>
    <row r="300" spans="1:14" s="3" customFormat="1" ht="12.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v>1223.93</v>
      </c>
      <c r="I300" s="18">
        <v>196.76</v>
      </c>
      <c r="J300" s="18"/>
      <c r="K300" s="18"/>
      <c r="L300" s="19">
        <f t="shared" si="14"/>
        <v>1420.69</v>
      </c>
      <c r="M300" s="8"/>
      <c r="N300" s="270"/>
    </row>
    <row r="301" spans="1:14" s="3" customFormat="1" ht="12.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>
        <v>4222.8599999999997</v>
      </c>
      <c r="I301" s="18"/>
      <c r="J301" s="18"/>
      <c r="K301" s="18"/>
      <c r="L301" s="19">
        <f t="shared" si="14"/>
        <v>4222.8599999999997</v>
      </c>
      <c r="M301" s="8"/>
      <c r="N301" s="270"/>
    </row>
    <row r="302" spans="1:14" s="3" customFormat="1" ht="12.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.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.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.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.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>
        <v>3845.29</v>
      </c>
      <c r="L306" s="19">
        <f>SUM(F306:K306)</f>
        <v>3845.29</v>
      </c>
      <c r="M306" s="8"/>
      <c r="N306" s="270"/>
    </row>
    <row r="307" spans="1:14" s="3" customFormat="1" ht="12.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.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64994.28</v>
      </c>
      <c r="G308" s="42">
        <f t="shared" si="15"/>
        <v>18412.669999999998</v>
      </c>
      <c r="H308" s="42">
        <f t="shared" si="15"/>
        <v>6060.33</v>
      </c>
      <c r="I308" s="42">
        <f t="shared" si="15"/>
        <v>4237.6400000000003</v>
      </c>
      <c r="J308" s="42">
        <f t="shared" si="15"/>
        <v>14347.560000000001</v>
      </c>
      <c r="K308" s="42">
        <f t="shared" si="15"/>
        <v>3845.29</v>
      </c>
      <c r="L308" s="41">
        <f t="shared" si="15"/>
        <v>111897.77</v>
      </c>
      <c r="N308" s="181"/>
    </row>
    <row r="309" spans="1:14" s="3" customFormat="1" ht="12.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.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.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.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.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15320</v>
      </c>
      <c r="G313" s="18">
        <v>2940.84</v>
      </c>
      <c r="H313" s="18">
        <v>5464.88</v>
      </c>
      <c r="I313" s="18">
        <v>3236.03</v>
      </c>
      <c r="J313" s="18">
        <v>14998.28</v>
      </c>
      <c r="K313" s="18"/>
      <c r="L313" s="19">
        <f>SUM(F313:K313)</f>
        <v>41960.03</v>
      </c>
      <c r="M313" s="8"/>
      <c r="N313" s="270"/>
    </row>
    <row r="314" spans="1:14" s="3" customFormat="1" ht="12.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54496.32</v>
      </c>
      <c r="G314" s="18">
        <v>20652.810000000001</v>
      </c>
      <c r="H314" s="18"/>
      <c r="I314" s="18">
        <v>1440.44</v>
      </c>
      <c r="J314" s="18">
        <v>3638.4</v>
      </c>
      <c r="K314" s="18">
        <v>880</v>
      </c>
      <c r="L314" s="19">
        <f>SUM(F314:K314)</f>
        <v>81107.97</v>
      </c>
      <c r="M314" s="8"/>
      <c r="N314" s="270"/>
    </row>
    <row r="315" spans="1:14" s="3" customFormat="1" ht="12.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.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.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.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33990.15</v>
      </c>
      <c r="G318" s="18">
        <v>5292.33</v>
      </c>
      <c r="H318" s="18"/>
      <c r="I318" s="18"/>
      <c r="J318" s="18"/>
      <c r="K318" s="18"/>
      <c r="L318" s="19">
        <f t="shared" ref="L318:L324" si="16">SUM(F318:K318)</f>
        <v>39282.480000000003</v>
      </c>
      <c r="M318" s="8"/>
      <c r="N318" s="270"/>
    </row>
    <row r="319" spans="1:14" s="3" customFormat="1" ht="12.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39075</v>
      </c>
      <c r="G319" s="18">
        <v>5382.4</v>
      </c>
      <c r="H319" s="18">
        <v>1795.78</v>
      </c>
      <c r="I319" s="18">
        <v>321.10000000000002</v>
      </c>
      <c r="J319" s="18"/>
      <c r="K319" s="18"/>
      <c r="L319" s="19">
        <f t="shared" si="16"/>
        <v>46574.28</v>
      </c>
      <c r="M319" s="8"/>
      <c r="N319" s="270"/>
    </row>
    <row r="320" spans="1:14" s="3" customFormat="1" ht="12.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>
        <v>5630.49</v>
      </c>
      <c r="I320" s="18"/>
      <c r="J320" s="18"/>
      <c r="K320" s="18"/>
      <c r="L320" s="19">
        <f t="shared" si="16"/>
        <v>5630.49</v>
      </c>
      <c r="M320" s="8"/>
      <c r="N320" s="270"/>
    </row>
    <row r="321" spans="1:14" s="3" customFormat="1" ht="12.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.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.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.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.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>
        <v>6401.04</v>
      </c>
      <c r="L325" s="19">
        <f>SUM(F325:K325)</f>
        <v>6401.04</v>
      </c>
      <c r="M325" s="8"/>
      <c r="N325" s="270"/>
    </row>
    <row r="326" spans="1:14" s="3" customFormat="1" ht="12.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.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142881.47</v>
      </c>
      <c r="G327" s="42">
        <f t="shared" si="17"/>
        <v>34268.380000000005</v>
      </c>
      <c r="H327" s="42">
        <f t="shared" si="17"/>
        <v>12891.15</v>
      </c>
      <c r="I327" s="42">
        <f t="shared" si="17"/>
        <v>4997.5700000000006</v>
      </c>
      <c r="J327" s="42">
        <f t="shared" si="17"/>
        <v>18636.68</v>
      </c>
      <c r="K327" s="42">
        <f t="shared" si="17"/>
        <v>7281.04</v>
      </c>
      <c r="L327" s="41">
        <f t="shared" si="17"/>
        <v>220956.29</v>
      </c>
      <c r="M327" s="8"/>
      <c r="N327" s="270"/>
    </row>
    <row r="328" spans="1:14" s="3" customFormat="1" ht="12.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.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.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.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.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.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.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.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.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.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518150.49</v>
      </c>
      <c r="G337" s="41">
        <f t="shared" si="20"/>
        <v>145523.01</v>
      </c>
      <c r="H337" s="41">
        <f t="shared" si="20"/>
        <v>101501.73999999999</v>
      </c>
      <c r="I337" s="41">
        <f t="shared" si="20"/>
        <v>36852.1</v>
      </c>
      <c r="J337" s="41">
        <f t="shared" si="20"/>
        <v>73037.279999999999</v>
      </c>
      <c r="K337" s="41">
        <f t="shared" si="20"/>
        <v>28743.79</v>
      </c>
      <c r="L337" s="41">
        <f t="shared" si="20"/>
        <v>903808.41</v>
      </c>
      <c r="M337" s="8"/>
      <c r="N337" s="270"/>
    </row>
    <row r="338" spans="1:43" s="3" customFormat="1" ht="12.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.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.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.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.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.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.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.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.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.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.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.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.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.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518150.49</v>
      </c>
      <c r="G351" s="41">
        <f>G337</f>
        <v>145523.01</v>
      </c>
      <c r="H351" s="41">
        <f>H337</f>
        <v>101501.73999999999</v>
      </c>
      <c r="I351" s="41">
        <f>I337</f>
        <v>36852.1</v>
      </c>
      <c r="J351" s="41">
        <f>J337</f>
        <v>73037.279999999999</v>
      </c>
      <c r="K351" s="47">
        <f>K337+K350</f>
        <v>28743.79</v>
      </c>
      <c r="L351" s="41">
        <f>L337+L350</f>
        <v>903808.41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.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.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.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.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.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.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331278.48</v>
      </c>
      <c r="I357" s="18">
        <v>12142.01</v>
      </c>
      <c r="J357" s="18"/>
      <c r="K357" s="18">
        <v>55.28</v>
      </c>
      <c r="L357" s="13">
        <f>SUM(F357:K357)</f>
        <v>343475.77</v>
      </c>
      <c r="N357" s="181"/>
    </row>
    <row r="358" spans="1:14" s="3" customFormat="1" ht="12.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v>177415.41</v>
      </c>
      <c r="I358" s="18">
        <v>6622.91</v>
      </c>
      <c r="J358" s="18"/>
      <c r="K358" s="18">
        <v>48.58</v>
      </c>
      <c r="L358" s="19">
        <f>SUM(F358:K358)</f>
        <v>184086.9</v>
      </c>
      <c r="M358" s="8"/>
      <c r="N358" s="270"/>
    </row>
    <row r="359" spans="1:14" s="3" customFormat="1" ht="12.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3765.56</v>
      </c>
      <c r="G359" s="18">
        <v>751.02</v>
      </c>
      <c r="H359" s="18">
        <v>237138.23</v>
      </c>
      <c r="I359" s="18">
        <v>8950</v>
      </c>
      <c r="J359" s="18"/>
      <c r="K359" s="18">
        <v>7.94</v>
      </c>
      <c r="L359" s="19">
        <f>SUM(F359:K359)</f>
        <v>250612.75</v>
      </c>
      <c r="M359" s="8"/>
      <c r="N359" s="270"/>
    </row>
    <row r="360" spans="1:14" s="3" customFormat="1" ht="12.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.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3765.56</v>
      </c>
      <c r="G361" s="47">
        <f t="shared" si="22"/>
        <v>751.02</v>
      </c>
      <c r="H361" s="47">
        <f t="shared" si="22"/>
        <v>745832.12</v>
      </c>
      <c r="I361" s="47">
        <f t="shared" si="22"/>
        <v>27714.92</v>
      </c>
      <c r="J361" s="47">
        <f t="shared" si="22"/>
        <v>0</v>
      </c>
      <c r="K361" s="47">
        <f t="shared" si="22"/>
        <v>111.8</v>
      </c>
      <c r="L361" s="47">
        <f t="shared" si="22"/>
        <v>778175.42</v>
      </c>
      <c r="M361" s="8"/>
      <c r="N361" s="270"/>
    </row>
    <row r="362" spans="1:14" s="3" customFormat="1" ht="12.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.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.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.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.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12142.01</v>
      </c>
      <c r="G366" s="18">
        <v>6622.91</v>
      </c>
      <c r="H366" s="18">
        <v>8950</v>
      </c>
      <c r="I366" s="56">
        <f>SUM(F366:H366)</f>
        <v>27714.92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.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.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12142.01</v>
      </c>
      <c r="G368" s="47">
        <f>SUM(G366:G367)</f>
        <v>6622.91</v>
      </c>
      <c r="H368" s="47">
        <f>SUM(H366:H367)</f>
        <v>8950</v>
      </c>
      <c r="I368" s="47">
        <f>SUM(I366:I367)</f>
        <v>27714.92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.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.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.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.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.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.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.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.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.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.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.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.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.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.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.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.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.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.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.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.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.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.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.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.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.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.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.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50000</v>
      </c>
      <c r="H395" s="18">
        <f>737.44+11130.95+204.06</f>
        <v>12072.45</v>
      </c>
      <c r="I395" s="18"/>
      <c r="J395" s="24" t="s">
        <v>289</v>
      </c>
      <c r="K395" s="24" t="s">
        <v>289</v>
      </c>
      <c r="L395" s="56">
        <f t="shared" si="26"/>
        <v>62072.45</v>
      </c>
      <c r="M395" s="8"/>
      <c r="N395" s="270"/>
    </row>
    <row r="396" spans="1:14" s="3" customFormat="1" ht="12.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25000</v>
      </c>
      <c r="H396" s="18">
        <v>1605.46</v>
      </c>
      <c r="I396" s="18"/>
      <c r="J396" s="24" t="s">
        <v>289</v>
      </c>
      <c r="K396" s="24" t="s">
        <v>289</v>
      </c>
      <c r="L396" s="56">
        <f t="shared" si="26"/>
        <v>26605.46</v>
      </c>
      <c r="M396" s="8"/>
      <c r="N396" s="270"/>
    </row>
    <row r="397" spans="1:14" s="3" customFormat="1" ht="12.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.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.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>
        <v>13146.34</v>
      </c>
      <c r="J399" s="24" t="s">
        <v>289</v>
      </c>
      <c r="K399" s="24" t="s">
        <v>289</v>
      </c>
      <c r="L399" s="56">
        <f t="shared" si="26"/>
        <v>13146.34</v>
      </c>
      <c r="M399" s="8"/>
      <c r="N399" s="270"/>
    </row>
    <row r="400" spans="1:14" s="3" customFormat="1" ht="12.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75000</v>
      </c>
      <c r="H400" s="47">
        <f>SUM(H394:H399)</f>
        <v>13677.91</v>
      </c>
      <c r="I400" s="47">
        <f>SUM(I394:I399)</f>
        <v>13146.34</v>
      </c>
      <c r="J400" s="45" t="s">
        <v>289</v>
      </c>
      <c r="K400" s="45" t="s">
        <v>289</v>
      </c>
      <c r="L400" s="47">
        <f>SUM(L394:L399)</f>
        <v>101824.25</v>
      </c>
      <c r="M400" s="8"/>
      <c r="N400" s="270"/>
    </row>
    <row r="401" spans="1:21" s="3" customFormat="1" ht="12.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.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.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.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.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.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.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75000</v>
      </c>
      <c r="H407" s="47">
        <f>H392+H400+H406</f>
        <v>13677.91</v>
      </c>
      <c r="I407" s="47">
        <f>I392+I400+I406</f>
        <v>13146.34</v>
      </c>
      <c r="J407" s="24" t="s">
        <v>289</v>
      </c>
      <c r="K407" s="24" t="s">
        <v>289</v>
      </c>
      <c r="L407" s="47">
        <f>L392+L400+L406</f>
        <v>101824.25</v>
      </c>
      <c r="M407" s="8"/>
      <c r="N407" s="270"/>
    </row>
    <row r="408" spans="1:21" s="3" customFormat="1" ht="12.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.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.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.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.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.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.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.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.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.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.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.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.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.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.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.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.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.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.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.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.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.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.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.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.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.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.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.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.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.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.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.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1750669.07</v>
      </c>
      <c r="G439" s="18"/>
      <c r="H439" s="18"/>
      <c r="I439" s="56">
        <f t="shared" si="33"/>
        <v>1750669.07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.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2</v>
      </c>
      <c r="G440" s="18"/>
      <c r="H440" s="18"/>
      <c r="I440" s="56">
        <f t="shared" si="33"/>
        <v>2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.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.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.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.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.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1750671.07</v>
      </c>
      <c r="G445" s="13">
        <f>SUM(G438:G444)</f>
        <v>0</v>
      </c>
      <c r="H445" s="13">
        <f>SUM(H438:H444)</f>
        <v>0</v>
      </c>
      <c r="I445" s="13">
        <f>SUM(I438:I444)</f>
        <v>1750671.07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.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.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.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.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.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.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.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.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.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.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.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.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.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f>1669246.82+81424.25</f>
        <v>1750671.07</v>
      </c>
      <c r="G458" s="18"/>
      <c r="H458" s="18"/>
      <c r="I458" s="56">
        <f t="shared" si="34"/>
        <v>1750671.07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.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1750671.07</v>
      </c>
      <c r="G459" s="83">
        <f>SUM(G453:G458)</f>
        <v>0</v>
      </c>
      <c r="H459" s="83">
        <f>SUM(H453:H458)</f>
        <v>0</v>
      </c>
      <c r="I459" s="83">
        <f>SUM(I453:I458)</f>
        <v>1750671.07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.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1750671.07</v>
      </c>
      <c r="G460" s="42">
        <f>G451+G459</f>
        <v>0</v>
      </c>
      <c r="H460" s="42">
        <f>H451+H459</f>
        <v>0</v>
      </c>
      <c r="I460" s="42">
        <f>I451+I459</f>
        <v>1750671.07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.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.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.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.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f>F50-F467+F471</f>
        <v>2505593.5500000007</v>
      </c>
      <c r="G464" s="18">
        <f>G50-G467+G471</f>
        <v>22395.340000000084</v>
      </c>
      <c r="H464" s="18">
        <f>H50-H467+H471</f>
        <v>-35542.109999999986</v>
      </c>
      <c r="I464" s="18">
        <f>I50-I467+I471</f>
        <v>104777.4</v>
      </c>
      <c r="J464" s="18">
        <f>J50-J467+J471</f>
        <v>1648846.82</v>
      </c>
      <c r="K464" s="24" t="s">
        <v>289</v>
      </c>
      <c r="L464" s="24" t="s">
        <v>289</v>
      </c>
      <c r="N464" s="217"/>
    </row>
    <row r="465" spans="1:14" s="52" customFormat="1" ht="12.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.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.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33897684.359999999</v>
      </c>
      <c r="G467" s="18">
        <f>G192</f>
        <v>778175.41999999993</v>
      </c>
      <c r="H467" s="18">
        <f>H192</f>
        <v>973630.52</v>
      </c>
      <c r="I467" s="18">
        <f>I192</f>
        <v>127.86</v>
      </c>
      <c r="J467" s="18">
        <f>J192</f>
        <v>101824.25</v>
      </c>
      <c r="K467" s="24" t="s">
        <v>289</v>
      </c>
      <c r="L467" s="24" t="s">
        <v>289</v>
      </c>
      <c r="N467" s="217"/>
    </row>
    <row r="468" spans="1:14" s="52" customFormat="1" ht="12.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.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33897684.359999999</v>
      </c>
      <c r="G469" s="53">
        <f>SUM(G467:G468)</f>
        <v>778175.41999999993</v>
      </c>
      <c r="H469" s="53">
        <f>SUM(H467:H468)</f>
        <v>973630.52</v>
      </c>
      <c r="I469" s="53">
        <f>SUM(I467:I468)</f>
        <v>127.86</v>
      </c>
      <c r="J469" s="53">
        <f>SUM(J467:J468)</f>
        <v>101824.25</v>
      </c>
      <c r="K469" s="24" t="s">
        <v>289</v>
      </c>
      <c r="L469" s="24" t="s">
        <v>289</v>
      </c>
      <c r="N469" s="217"/>
    </row>
    <row r="470" spans="1:14" s="52" customFormat="1" ht="12.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.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33762783.280000001</v>
      </c>
      <c r="G471" s="18">
        <f>L361</f>
        <v>778175.42</v>
      </c>
      <c r="H471" s="18">
        <f>L351</f>
        <v>903808.41</v>
      </c>
      <c r="I471" s="18">
        <f>L381</f>
        <v>0</v>
      </c>
      <c r="J471" s="18"/>
      <c r="K471" s="24" t="s">
        <v>289</v>
      </c>
      <c r="L471" s="24" t="s">
        <v>289</v>
      </c>
      <c r="N471" s="217"/>
    </row>
    <row r="472" spans="1:14" s="52" customFormat="1" ht="12.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.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33762783.280000001</v>
      </c>
      <c r="G473" s="53">
        <f>SUM(G471:G472)</f>
        <v>778175.42</v>
      </c>
      <c r="H473" s="53">
        <f>SUM(H471:H472)</f>
        <v>903808.41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.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.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2640494.6299999952</v>
      </c>
      <c r="G475" s="53">
        <f>(G464+G469)- G473</f>
        <v>22395.339999999967</v>
      </c>
      <c r="H475" s="53">
        <f>(H464+H469)- H473</f>
        <v>34280</v>
      </c>
      <c r="I475" s="53">
        <f>(I464+I469)- I473</f>
        <v>104905.26</v>
      </c>
      <c r="J475" s="53">
        <f>(J464+J469)- J473</f>
        <v>1750671.07</v>
      </c>
      <c r="K475" s="24" t="s">
        <v>289</v>
      </c>
      <c r="L475" s="24" t="s">
        <v>289</v>
      </c>
      <c r="N475" s="217"/>
    </row>
    <row r="476" spans="1:14" s="52" customFormat="1" ht="12.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.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.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.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.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.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.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.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.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.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.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.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>
        <v>10</v>
      </c>
      <c r="H489" s="154">
        <v>20</v>
      </c>
      <c r="I489" s="154">
        <v>15</v>
      </c>
      <c r="J489" s="154"/>
      <c r="K489" s="24" t="s">
        <v>289</v>
      </c>
      <c r="L489" s="24" t="s">
        <v>289</v>
      </c>
      <c r="N489" s="217"/>
    </row>
    <row r="490" spans="1:14" s="52" customFormat="1" ht="12.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273" t="s">
        <v>909</v>
      </c>
      <c r="G490" s="273" t="s">
        <v>910</v>
      </c>
      <c r="H490" s="155" t="s">
        <v>911</v>
      </c>
      <c r="I490" s="272" t="s">
        <v>912</v>
      </c>
      <c r="J490" s="272"/>
      <c r="K490" s="24" t="s">
        <v>289</v>
      </c>
      <c r="L490" s="24" t="s">
        <v>289</v>
      </c>
      <c r="N490" s="217"/>
    </row>
    <row r="491" spans="1:14" s="52" customFormat="1" ht="12.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273" t="s">
        <v>913</v>
      </c>
      <c r="G491" s="273" t="s">
        <v>914</v>
      </c>
      <c r="H491" s="155" t="s">
        <v>915</v>
      </c>
      <c r="I491" s="273" t="s">
        <v>916</v>
      </c>
      <c r="J491" s="273"/>
      <c r="K491" s="24" t="s">
        <v>289</v>
      </c>
      <c r="L491" s="24" t="s">
        <v>289</v>
      </c>
      <c r="N491" s="217"/>
    </row>
    <row r="492" spans="1:14" s="52" customFormat="1" ht="12.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667500</v>
      </c>
      <c r="G492" s="18">
        <v>3259044</v>
      </c>
      <c r="H492" s="18">
        <v>24450150</v>
      </c>
      <c r="I492" s="18">
        <v>2231283</v>
      </c>
      <c r="J492" s="18"/>
      <c r="K492" s="24" t="s">
        <v>289</v>
      </c>
      <c r="L492" s="24" t="s">
        <v>289</v>
      </c>
      <c r="N492" s="217"/>
    </row>
    <row r="493" spans="1:14" s="52" customFormat="1" ht="12.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3.8</v>
      </c>
      <c r="G493" s="18">
        <v>3.69</v>
      </c>
      <c r="H493" s="18">
        <v>4.6100000000000003</v>
      </c>
      <c r="I493" s="18">
        <v>4.375</v>
      </c>
      <c r="J493" s="18"/>
      <c r="K493" s="24" t="s">
        <v>289</v>
      </c>
      <c r="L493" s="24" t="s">
        <v>289</v>
      </c>
      <c r="N493" s="217"/>
    </row>
    <row r="494" spans="1:14" s="52" customFormat="1" ht="12.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65000</v>
      </c>
      <c r="G494" s="18">
        <v>746788.31</v>
      </c>
      <c r="H494" s="18">
        <v>15647139.859999999</v>
      </c>
      <c r="I494" s="18">
        <v>2082530.8</v>
      </c>
      <c r="J494" s="18"/>
      <c r="K494" s="53">
        <f>SUM(F494:J494)</f>
        <v>18541458.969999999</v>
      </c>
      <c r="L494" s="24" t="s">
        <v>289</v>
      </c>
      <c r="N494" s="217"/>
    </row>
    <row r="495" spans="1:14" s="52" customFormat="1" ht="12.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.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65000</v>
      </c>
      <c r="G496" s="18">
        <f>249881.94+12119.72</f>
        <v>262001.66</v>
      </c>
      <c r="H496" s="18">
        <v>1417309.36</v>
      </c>
      <c r="I496" s="18">
        <v>148752.20000000001</v>
      </c>
      <c r="J496" s="18"/>
      <c r="K496" s="53">
        <f t="shared" si="35"/>
        <v>1893063.22</v>
      </c>
      <c r="L496" s="24" t="s">
        <v>289</v>
      </c>
      <c r="N496" s="217"/>
    </row>
    <row r="497" spans="1:14" s="52" customFormat="1" ht="12.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0</v>
      </c>
      <c r="G497" s="204">
        <f>G494-G496</f>
        <v>484786.65</v>
      </c>
      <c r="H497" s="204">
        <f>H494-H496</f>
        <v>14229830.5</v>
      </c>
      <c r="I497" s="204">
        <f>I494-I496</f>
        <v>1933778.6</v>
      </c>
      <c r="J497" s="204"/>
      <c r="K497" s="205">
        <f t="shared" si="35"/>
        <v>16648395.75</v>
      </c>
      <c r="L497" s="206" t="s">
        <v>289</v>
      </c>
      <c r="N497" s="217"/>
    </row>
    <row r="498" spans="1:14" s="52" customFormat="1" ht="12.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f>136585.51+3576.27+152551.57</f>
        <v>292713.34999999998</v>
      </c>
      <c r="H498" s="18">
        <v>12250384.529999999</v>
      </c>
      <c r="I498" s="18">
        <v>549891.55000000005</v>
      </c>
      <c r="J498" s="18"/>
      <c r="K498" s="53">
        <f t="shared" si="35"/>
        <v>13092989.43</v>
      </c>
      <c r="L498" s="24" t="s">
        <v>289</v>
      </c>
      <c r="N498" s="217"/>
    </row>
    <row r="499" spans="1:14" s="52" customFormat="1" ht="12.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777500</v>
      </c>
      <c r="H499" s="42">
        <f>SUM(H497:H498)</f>
        <v>26480215.030000001</v>
      </c>
      <c r="I499" s="42">
        <f>SUM(I497:I498)</f>
        <v>2483670.1500000004</v>
      </c>
      <c r="J499" s="42">
        <f>SUM(J497:J498)</f>
        <v>0</v>
      </c>
      <c r="K499" s="42">
        <f t="shared" si="35"/>
        <v>29741385.18</v>
      </c>
      <c r="L499" s="45" t="s">
        <v>289</v>
      </c>
      <c r="N499" s="217"/>
    </row>
    <row r="500" spans="1:14" s="52" customFormat="1" ht="12.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0</v>
      </c>
      <c r="G500" s="204">
        <f>241914.49+5923.73</f>
        <v>247838.22</v>
      </c>
      <c r="H500" s="204">
        <v>1350560.22</v>
      </c>
      <c r="I500" s="204">
        <v>148752.20000000001</v>
      </c>
      <c r="J500" s="204"/>
      <c r="K500" s="205">
        <f t="shared" si="35"/>
        <v>1747150.64</v>
      </c>
      <c r="L500" s="206" t="s">
        <v>289</v>
      </c>
      <c r="N500" s="217"/>
    </row>
    <row r="501" spans="1:14" s="52" customFormat="1" ht="12.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>
        <f>136585.51+3576.27</f>
        <v>140161.78</v>
      </c>
      <c r="H501" s="18">
        <f>408688.78+130373.5</f>
        <v>539062.28</v>
      </c>
      <c r="I501" s="18">
        <f>41953.72+39368.39</f>
        <v>81322.11</v>
      </c>
      <c r="J501" s="18"/>
      <c r="K501" s="53">
        <f t="shared" si="35"/>
        <v>760546.17</v>
      </c>
      <c r="L501" s="24" t="s">
        <v>289</v>
      </c>
      <c r="N501" s="217"/>
    </row>
    <row r="502" spans="1:14" s="52" customFormat="1" ht="12.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388000</v>
      </c>
      <c r="H502" s="42">
        <f>SUM(H500:H501)</f>
        <v>1889622.5</v>
      </c>
      <c r="I502" s="42">
        <f>SUM(I500:I501)</f>
        <v>230074.31</v>
      </c>
      <c r="J502" s="42">
        <f>SUM(J500:J501)</f>
        <v>0</v>
      </c>
      <c r="K502" s="42">
        <f t="shared" si="35"/>
        <v>2507696.81</v>
      </c>
      <c r="L502" s="45" t="s">
        <v>289</v>
      </c>
      <c r="N502" s="217"/>
    </row>
    <row r="503" spans="1:14" s="52" customFormat="1" ht="12.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.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.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.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.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.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.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.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.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.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.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.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.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.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.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.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.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.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F197-30567+74932.44</f>
        <v>1741620</v>
      </c>
      <c r="G520" s="18">
        <f>G197-2475.54+31312.32</f>
        <v>574480.39999999991</v>
      </c>
      <c r="H520" s="18">
        <f>H197-5404.08</f>
        <v>323794.84999999998</v>
      </c>
      <c r="I520" s="18">
        <f>I197-3196.44+2032.28</f>
        <v>20584.420000000002</v>
      </c>
      <c r="J520" s="18">
        <f>J197+5002.8</f>
        <v>5002.8</v>
      </c>
      <c r="K520" s="18">
        <f>K197</f>
        <v>0</v>
      </c>
      <c r="L520" s="88">
        <f>SUM(F520:K520)</f>
        <v>2665482.4699999997</v>
      </c>
      <c r="N520" s="217"/>
    </row>
    <row r="521" spans="1:14" s="52" customFormat="1" ht="12.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F215-9818.52+40872.24</f>
        <v>961298.1</v>
      </c>
      <c r="G521" s="18">
        <f>G215-3424.56+14656.84</f>
        <v>225814.1</v>
      </c>
      <c r="H521" s="18">
        <f>H215-4525.27</f>
        <v>94019.37</v>
      </c>
      <c r="I521" s="18">
        <f>I215-1888.44+951.28</f>
        <v>6309.2499999999991</v>
      </c>
      <c r="J521" s="18">
        <f>J215+2728.8</f>
        <v>2728.8</v>
      </c>
      <c r="K521" s="18">
        <f>K215</f>
        <v>2422</v>
      </c>
      <c r="L521" s="88">
        <f>SUM(F521:K521)</f>
        <v>1292591.6199999999</v>
      </c>
      <c r="N521" s="217"/>
    </row>
    <row r="522" spans="1:14" s="52" customFormat="1" ht="12.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F233+54496.32</f>
        <v>751592.58</v>
      </c>
      <c r="G522" s="18">
        <f>G233+20652.81</f>
        <v>217961.7</v>
      </c>
      <c r="H522" s="18">
        <f>H233</f>
        <v>535537.56000000006</v>
      </c>
      <c r="I522" s="18">
        <f>I233+1340.44</f>
        <v>15829.36</v>
      </c>
      <c r="J522" s="18">
        <f>J233+3638.4</f>
        <v>5106.51</v>
      </c>
      <c r="K522" s="18">
        <f>K233</f>
        <v>0</v>
      </c>
      <c r="L522" s="88">
        <f>SUM(F522:K522)</f>
        <v>1526027.7100000002</v>
      </c>
      <c r="N522" s="217"/>
    </row>
    <row r="523" spans="1:14" s="52" customFormat="1" ht="12.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3454510.68</v>
      </c>
      <c r="G523" s="108">
        <f t="shared" ref="G523:L523" si="36">SUM(G520:G522)</f>
        <v>1018256.2</v>
      </c>
      <c r="H523" s="108">
        <f t="shared" si="36"/>
        <v>953351.78</v>
      </c>
      <c r="I523" s="108">
        <f t="shared" si="36"/>
        <v>42723.03</v>
      </c>
      <c r="J523" s="108">
        <f t="shared" si="36"/>
        <v>12838.11</v>
      </c>
      <c r="K523" s="108">
        <f t="shared" si="36"/>
        <v>2422</v>
      </c>
      <c r="L523" s="89">
        <f t="shared" si="36"/>
        <v>5484101.7999999998</v>
      </c>
      <c r="N523" s="217"/>
    </row>
    <row r="524" spans="1:14" s="52" customFormat="1" ht="12.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.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51878.45</v>
      </c>
      <c r="G525" s="18">
        <v>8050.23</v>
      </c>
      <c r="H525" s="18">
        <v>6653.75</v>
      </c>
      <c r="I525" s="18">
        <v>1991.5</v>
      </c>
      <c r="J525" s="18"/>
      <c r="K525" s="18"/>
      <c r="L525" s="88">
        <f>SUM(F525:K525)</f>
        <v>68573.929999999993</v>
      </c>
      <c r="M525" s="8"/>
      <c r="N525" s="270"/>
    </row>
    <row r="526" spans="1:14" s="3" customFormat="1" ht="12.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24122.05</v>
      </c>
      <c r="G526" s="18">
        <v>3755.85</v>
      </c>
      <c r="H526" s="18">
        <v>1223.93</v>
      </c>
      <c r="I526" s="18">
        <v>196.76</v>
      </c>
      <c r="J526" s="18"/>
      <c r="K526" s="18"/>
      <c r="L526" s="88">
        <f>SUM(F526:K526)</f>
        <v>29298.589999999997</v>
      </c>
      <c r="M526" s="8"/>
      <c r="N526" s="270"/>
    </row>
    <row r="527" spans="1:14" s="3" customFormat="1" ht="12.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33990.15</v>
      </c>
      <c r="G527" s="18">
        <v>5292.33</v>
      </c>
      <c r="H527" s="18">
        <v>1724.62</v>
      </c>
      <c r="I527" s="18">
        <v>277.25</v>
      </c>
      <c r="J527" s="18"/>
      <c r="K527" s="18"/>
      <c r="L527" s="88">
        <f>SUM(F527:K527)</f>
        <v>41284.350000000006</v>
      </c>
      <c r="M527" s="8"/>
      <c r="N527" s="270"/>
    </row>
    <row r="528" spans="1:14" s="3" customFormat="1" ht="12.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109990.65</v>
      </c>
      <c r="G528" s="89">
        <f t="shared" ref="G528:L528" si="37">SUM(G525:G527)</f>
        <v>17098.41</v>
      </c>
      <c r="H528" s="89">
        <f t="shared" si="37"/>
        <v>9602.2999999999993</v>
      </c>
      <c r="I528" s="89">
        <f t="shared" si="37"/>
        <v>2465.5100000000002</v>
      </c>
      <c r="J528" s="89">
        <f t="shared" si="37"/>
        <v>0</v>
      </c>
      <c r="K528" s="89">
        <f t="shared" si="37"/>
        <v>0</v>
      </c>
      <c r="L528" s="89">
        <f t="shared" si="37"/>
        <v>139156.87</v>
      </c>
      <c r="M528" s="8"/>
      <c r="N528" s="270"/>
    </row>
    <row r="529" spans="1:14" s="3" customFormat="1" ht="12.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.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59543.180399999976</v>
      </c>
      <c r="G530" s="18">
        <v>20781.063600000034</v>
      </c>
      <c r="H530" s="18"/>
      <c r="I530" s="18"/>
      <c r="J530" s="18"/>
      <c r="K530" s="18"/>
      <c r="L530" s="88">
        <f>SUM(F530:K530)</f>
        <v>80324.244000000006</v>
      </c>
      <c r="M530" s="8"/>
      <c r="N530" s="270"/>
    </row>
    <row r="531" spans="1:14" s="3" customFormat="1" ht="12.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32478.098399999984</v>
      </c>
      <c r="G531" s="18">
        <v>11335.125600000018</v>
      </c>
      <c r="H531" s="18"/>
      <c r="I531" s="18"/>
      <c r="J531" s="18"/>
      <c r="K531" s="18"/>
      <c r="L531" s="88">
        <f>SUM(F531:K531)</f>
        <v>43813.224000000002</v>
      </c>
      <c r="M531" s="8"/>
      <c r="N531" s="270"/>
    </row>
    <row r="532" spans="1:14" s="3" customFormat="1" ht="12.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43304.131199999982</v>
      </c>
      <c r="G532" s="18">
        <v>15113.500800000023</v>
      </c>
      <c r="H532" s="18"/>
      <c r="I532" s="18"/>
      <c r="J532" s="18"/>
      <c r="K532" s="18"/>
      <c r="L532" s="88">
        <f>SUM(F532:K532)</f>
        <v>58417.632000000005</v>
      </c>
      <c r="M532" s="8"/>
      <c r="N532" s="270"/>
    </row>
    <row r="533" spans="1:14" s="3" customFormat="1" ht="12.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135325.40999999995</v>
      </c>
      <c r="G533" s="89">
        <f t="shared" ref="G533:L533" si="38">SUM(G530:G532)</f>
        <v>47229.690000000075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182555.1</v>
      </c>
      <c r="M533" s="8"/>
      <c r="N533" s="270"/>
    </row>
    <row r="534" spans="1:14" s="3" customFormat="1" ht="12.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.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.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.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.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0"/>
    </row>
    <row r="539" spans="1:14" s="3" customFormat="1" ht="12.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.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H591</f>
        <v>92021.440000000002</v>
      </c>
      <c r="I540" s="18"/>
      <c r="J540" s="18"/>
      <c r="K540" s="18"/>
      <c r="L540" s="88">
        <f>SUM(F540:K540)</f>
        <v>92021.440000000002</v>
      </c>
      <c r="M540" s="8"/>
      <c r="N540" s="270"/>
    </row>
    <row r="541" spans="1:14" s="3" customFormat="1" ht="12.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f>I591</f>
        <v>50193.51</v>
      </c>
      <c r="I541" s="18"/>
      <c r="J541" s="18"/>
      <c r="K541" s="18"/>
      <c r="L541" s="88">
        <f>SUM(F541:K541)</f>
        <v>50193.51</v>
      </c>
      <c r="M541" s="8"/>
      <c r="N541" s="270"/>
    </row>
    <row r="542" spans="1:14" s="3" customFormat="1" ht="12.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J591</f>
        <v>66924.679999999993</v>
      </c>
      <c r="I542" s="18"/>
      <c r="J542" s="18"/>
      <c r="K542" s="18"/>
      <c r="L542" s="88">
        <f>SUM(F542:K542)</f>
        <v>66924.679999999993</v>
      </c>
      <c r="M542" s="8"/>
      <c r="N542" s="270"/>
    </row>
    <row r="543" spans="1:14" s="3" customFormat="1" ht="12.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209139.63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209139.63</v>
      </c>
      <c r="M543" s="8"/>
      <c r="N543" s="270"/>
    </row>
    <row r="544" spans="1:14" s="3" customFormat="1" ht="12.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3699826.74</v>
      </c>
      <c r="G544" s="89">
        <f t="shared" ref="G544:L544" si="41">G523+G528+G533+G538+G543</f>
        <v>1082584.3</v>
      </c>
      <c r="H544" s="89">
        <f t="shared" si="41"/>
        <v>1172093.71</v>
      </c>
      <c r="I544" s="89">
        <f t="shared" si="41"/>
        <v>45188.54</v>
      </c>
      <c r="J544" s="89">
        <f t="shared" si="41"/>
        <v>12838.11</v>
      </c>
      <c r="K544" s="89">
        <f t="shared" si="41"/>
        <v>2422</v>
      </c>
      <c r="L544" s="89">
        <f t="shared" si="41"/>
        <v>6014953.3999999994</v>
      </c>
      <c r="M544" s="8"/>
      <c r="N544" s="270"/>
    </row>
    <row r="545" spans="1:14" s="3" customFormat="1" ht="12.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.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.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.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2665482.4699999997</v>
      </c>
      <c r="G548" s="87">
        <f>L525</f>
        <v>68573.929999999993</v>
      </c>
      <c r="H548" s="87">
        <f>L530</f>
        <v>80324.244000000006</v>
      </c>
      <c r="I548" s="87">
        <f>L535</f>
        <v>0</v>
      </c>
      <c r="J548" s="87">
        <f>L540</f>
        <v>92021.440000000002</v>
      </c>
      <c r="K548" s="87">
        <f>SUM(F548:J548)</f>
        <v>2906402.0839999998</v>
      </c>
      <c r="L548" s="24" t="s">
        <v>289</v>
      </c>
      <c r="M548" s="8"/>
      <c r="N548" s="270"/>
    </row>
    <row r="549" spans="1:14" s="3" customFormat="1" ht="12.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1292591.6199999999</v>
      </c>
      <c r="G549" s="87">
        <f>L526</f>
        <v>29298.589999999997</v>
      </c>
      <c r="H549" s="87">
        <f>L531</f>
        <v>43813.224000000002</v>
      </c>
      <c r="I549" s="87">
        <f>L536</f>
        <v>0</v>
      </c>
      <c r="J549" s="87">
        <f>L541</f>
        <v>50193.51</v>
      </c>
      <c r="K549" s="87">
        <f>SUM(F549:J549)</f>
        <v>1415896.9439999999</v>
      </c>
      <c r="L549" s="24" t="s">
        <v>289</v>
      </c>
      <c r="M549" s="8"/>
      <c r="N549" s="270"/>
    </row>
    <row r="550" spans="1:14" s="3" customFormat="1" ht="12.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1526027.7100000002</v>
      </c>
      <c r="G550" s="87">
        <f>L527</f>
        <v>41284.350000000006</v>
      </c>
      <c r="H550" s="87">
        <f>L532</f>
        <v>58417.632000000005</v>
      </c>
      <c r="I550" s="87">
        <f>L537</f>
        <v>0</v>
      </c>
      <c r="J550" s="87">
        <f>L542</f>
        <v>66924.679999999993</v>
      </c>
      <c r="K550" s="87">
        <f>SUM(F550:J550)</f>
        <v>1692654.3720000002</v>
      </c>
      <c r="L550" s="24" t="s">
        <v>289</v>
      </c>
      <c r="M550" s="8"/>
      <c r="N550" s="270"/>
    </row>
    <row r="551" spans="1:14" s="3" customFormat="1" ht="12.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5484101.7999999998</v>
      </c>
      <c r="G551" s="89">
        <f t="shared" si="42"/>
        <v>139156.87</v>
      </c>
      <c r="H551" s="89">
        <f t="shared" si="42"/>
        <v>182555.1</v>
      </c>
      <c r="I551" s="89">
        <f t="shared" si="42"/>
        <v>0</v>
      </c>
      <c r="J551" s="89">
        <f t="shared" si="42"/>
        <v>209139.63</v>
      </c>
      <c r="K551" s="89">
        <f t="shared" si="42"/>
        <v>6014953.4000000004</v>
      </c>
      <c r="L551" s="24"/>
      <c r="M551" s="8"/>
      <c r="N551" s="270"/>
    </row>
    <row r="552" spans="1:14" s="3" customFormat="1" ht="12.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.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.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.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.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.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.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.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.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.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.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.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.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.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.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30567</v>
      </c>
      <c r="G566" s="18">
        <v>2475.54</v>
      </c>
      <c r="H566" s="18">
        <f>299.2+5104.88</f>
        <v>5404.08</v>
      </c>
      <c r="I566" s="18">
        <f>2058.6+1137.84</f>
        <v>3196.4399999999996</v>
      </c>
      <c r="J566" s="18"/>
      <c r="K566" s="18"/>
      <c r="L566" s="88">
        <f>SUM(F566:K566)</f>
        <v>41643.060000000005</v>
      </c>
      <c r="M566" s="8"/>
      <c r="N566" s="270"/>
    </row>
    <row r="567" spans="1:14" s="3" customFormat="1" ht="12.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9818.52</v>
      </c>
      <c r="G567" s="18">
        <v>3424.56</v>
      </c>
      <c r="H567" s="18">
        <f>2913.2+1612.07</f>
        <v>4525.2699999999995</v>
      </c>
      <c r="I567" s="18">
        <f>1529.12+359.32</f>
        <v>1888.4399999999998</v>
      </c>
      <c r="J567" s="18"/>
      <c r="K567" s="18"/>
      <c r="L567" s="88">
        <f>SUM(F567:K567)</f>
        <v>19656.789999999997</v>
      </c>
      <c r="M567" s="8"/>
      <c r="N567" s="270"/>
    </row>
    <row r="568" spans="1:14" s="3" customFormat="1" ht="12.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.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40385.520000000004</v>
      </c>
      <c r="G569" s="193">
        <f t="shared" ref="G569:L569" si="45">SUM(G566:G568)</f>
        <v>5900.1</v>
      </c>
      <c r="H569" s="193">
        <f t="shared" si="45"/>
        <v>9929.3499999999985</v>
      </c>
      <c r="I569" s="193">
        <f t="shared" si="45"/>
        <v>5084.8799999999992</v>
      </c>
      <c r="J569" s="193">
        <f t="shared" si="45"/>
        <v>0</v>
      </c>
      <c r="K569" s="193">
        <f t="shared" si="45"/>
        <v>0</v>
      </c>
      <c r="L569" s="193">
        <f t="shared" si="45"/>
        <v>61299.850000000006</v>
      </c>
      <c r="M569" s="8"/>
      <c r="N569" s="270"/>
    </row>
    <row r="570" spans="1:14" s="3" customFormat="1" ht="12.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40385.520000000004</v>
      </c>
      <c r="G570" s="89">
        <f t="shared" ref="G570:L570" si="46">G559+G564+G569</f>
        <v>5900.1</v>
      </c>
      <c r="H570" s="89">
        <f t="shared" si="46"/>
        <v>9929.3499999999985</v>
      </c>
      <c r="I570" s="89">
        <f t="shared" si="46"/>
        <v>5084.8799999999992</v>
      </c>
      <c r="J570" s="89">
        <f t="shared" si="46"/>
        <v>0</v>
      </c>
      <c r="K570" s="89">
        <f t="shared" si="46"/>
        <v>0</v>
      </c>
      <c r="L570" s="89">
        <f t="shared" si="46"/>
        <v>61299.850000000006</v>
      </c>
      <c r="M570" s="8"/>
      <c r="N570" s="270"/>
    </row>
    <row r="571" spans="1:14" s="3" customFormat="1" ht="12.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.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.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.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.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.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.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.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.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.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.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208682.99</v>
      </c>
      <c r="G581" s="18">
        <v>35193.480000000003</v>
      </c>
      <c r="H581" s="18">
        <v>445836.67</v>
      </c>
      <c r="I581" s="87">
        <f t="shared" si="47"/>
        <v>689713.14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.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.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66286.55</v>
      </c>
      <c r="I583" s="87">
        <f t="shared" si="47"/>
        <v>66286.55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.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.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.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.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.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.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.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966897</v>
      </c>
      <c r="I590" s="18">
        <v>524208.5</v>
      </c>
      <c r="J590" s="18">
        <v>737671.36</v>
      </c>
      <c r="K590" s="104">
        <f t="shared" ref="K590:K596" si="48">SUM(H590:J590)</f>
        <v>2228776.86</v>
      </c>
      <c r="L590" s="24" t="s">
        <v>289</v>
      </c>
      <c r="M590" s="8"/>
      <c r="N590" s="270"/>
    </row>
    <row r="591" spans="1:14" s="3" customFormat="1" ht="12.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92021.440000000002</v>
      </c>
      <c r="I591" s="18">
        <v>50193.51</v>
      </c>
      <c r="J591" s="18">
        <v>66924.679999999993</v>
      </c>
      <c r="K591" s="104">
        <f t="shared" si="48"/>
        <v>209139.63</v>
      </c>
      <c r="L591" s="24" t="s">
        <v>289</v>
      </c>
      <c r="M591" s="8"/>
      <c r="N591" s="270"/>
    </row>
    <row r="592" spans="1:14" s="3" customFormat="1" ht="12.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22371.79</v>
      </c>
      <c r="K592" s="104">
        <f t="shared" si="48"/>
        <v>22371.79</v>
      </c>
      <c r="L592" s="24" t="s">
        <v>289</v>
      </c>
      <c r="M592" s="8"/>
      <c r="N592" s="270"/>
    </row>
    <row r="593" spans="1:14" s="3" customFormat="1" ht="12.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7579.85</v>
      </c>
      <c r="J593" s="18">
        <v>38502.199999999997</v>
      </c>
      <c r="K593" s="104">
        <f t="shared" si="48"/>
        <v>46082.049999999996</v>
      </c>
      <c r="L593" s="24" t="s">
        <v>289</v>
      </c>
      <c r="M593" s="8"/>
      <c r="N593" s="270"/>
    </row>
    <row r="594" spans="1:14" s="3" customFormat="1" ht="12.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22087.33</v>
      </c>
      <c r="I594" s="18">
        <v>12878.34</v>
      </c>
      <c r="J594" s="18">
        <v>7815.03</v>
      </c>
      <c r="K594" s="104">
        <f t="shared" si="48"/>
        <v>42780.7</v>
      </c>
      <c r="L594" s="24" t="s">
        <v>289</v>
      </c>
      <c r="M594" s="8"/>
      <c r="N594" s="270"/>
    </row>
    <row r="595" spans="1:14" s="3" customFormat="1" ht="12.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.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.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1081005.77</v>
      </c>
      <c r="I597" s="108">
        <f>SUM(I590:I596)</f>
        <v>594860.19999999995</v>
      </c>
      <c r="J597" s="108">
        <f>SUM(J590:J596)</f>
        <v>873285.06</v>
      </c>
      <c r="K597" s="108">
        <f>SUM(K590:K596)</f>
        <v>2549151.0299999998</v>
      </c>
      <c r="L597" s="24" t="s">
        <v>289</v>
      </c>
      <c r="M597" s="8"/>
      <c r="N597" s="270"/>
    </row>
    <row r="598" spans="1:14" s="3" customFormat="1" ht="12.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.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.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.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.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.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J210+J289</f>
        <v>169157.92</v>
      </c>
      <c r="I603" s="18">
        <f>J228+J308</f>
        <v>78099.259999999995</v>
      </c>
      <c r="J603" s="18">
        <f>J246+J327</f>
        <v>200257.22</v>
      </c>
      <c r="K603" s="104">
        <f>SUM(H603:J603)</f>
        <v>447514.4</v>
      </c>
      <c r="L603" s="24" t="s">
        <v>289</v>
      </c>
      <c r="M603" s="8"/>
      <c r="N603" s="270"/>
    </row>
    <row r="604" spans="1:14" s="3" customFormat="1" ht="12.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169157.92</v>
      </c>
      <c r="I604" s="108">
        <f>SUM(I601:I603)</f>
        <v>78099.259999999995</v>
      </c>
      <c r="J604" s="108">
        <f>SUM(J601:J603)</f>
        <v>200257.22</v>
      </c>
      <c r="K604" s="108">
        <f>SUM(K601:K603)</f>
        <v>447514.4</v>
      </c>
      <c r="L604" s="24" t="s">
        <v>289</v>
      </c>
      <c r="M604" s="8"/>
      <c r="N604" s="270"/>
    </row>
    <row r="605" spans="1:14" s="3" customFormat="1" ht="12.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.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.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.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.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.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48224.160000000003</v>
      </c>
      <c r="G610" s="18">
        <v>6924.7</v>
      </c>
      <c r="H610" s="18">
        <v>36605.25</v>
      </c>
      <c r="I610" s="18">
        <v>43.14</v>
      </c>
      <c r="J610" s="18"/>
      <c r="K610" s="18"/>
      <c r="L610" s="88">
        <f>SUM(F610:K610)</f>
        <v>91797.25</v>
      </c>
      <c r="M610" s="8"/>
      <c r="N610" s="270"/>
    </row>
    <row r="611" spans="1:14" s="3" customFormat="1" ht="12.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15840.9</v>
      </c>
      <c r="G611" s="18">
        <v>2164.29</v>
      </c>
      <c r="H611" s="18">
        <v>20012.349999999999</v>
      </c>
      <c r="I611" s="18">
        <v>378.61</v>
      </c>
      <c r="J611" s="18"/>
      <c r="K611" s="18"/>
      <c r="L611" s="88">
        <f>SUM(F611:K611)</f>
        <v>38396.149999999994</v>
      </c>
      <c r="M611" s="8"/>
      <c r="N611" s="270"/>
    </row>
    <row r="612" spans="1:14" s="3" customFormat="1" ht="12.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21121.200000000001</v>
      </c>
      <c r="G612" s="18">
        <v>2890.6</v>
      </c>
      <c r="H612" s="18">
        <v>26622</v>
      </c>
      <c r="I612" s="18">
        <v>3.42</v>
      </c>
      <c r="J612" s="18"/>
      <c r="K612" s="18"/>
      <c r="L612" s="88">
        <f>SUM(F612:K612)</f>
        <v>50637.22</v>
      </c>
      <c r="M612" s="8"/>
      <c r="N612" s="270"/>
    </row>
    <row r="613" spans="1:14" s="3" customFormat="1" ht="12.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85186.260000000009</v>
      </c>
      <c r="G613" s="108">
        <f t="shared" si="49"/>
        <v>11979.59</v>
      </c>
      <c r="H613" s="108">
        <f t="shared" si="49"/>
        <v>83239.600000000006</v>
      </c>
      <c r="I613" s="108">
        <f t="shared" si="49"/>
        <v>425.17</v>
      </c>
      <c r="J613" s="108">
        <f t="shared" si="49"/>
        <v>0</v>
      </c>
      <c r="K613" s="108">
        <f t="shared" si="49"/>
        <v>0</v>
      </c>
      <c r="L613" s="89">
        <f t="shared" si="49"/>
        <v>180830.62</v>
      </c>
      <c r="M613" s="8"/>
      <c r="N613" s="270"/>
    </row>
    <row r="614" spans="1:14" s="3" customFormat="1" ht="12.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.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4461933.8899999997</v>
      </c>
      <c r="H616" s="109">
        <f>SUM(F51)</f>
        <v>4461933.8900000006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.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719151.28</v>
      </c>
      <c r="H617" s="109">
        <f>SUM(G51)</f>
        <v>719151.28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382192.04000000004</v>
      </c>
      <c r="H618" s="109">
        <f>SUM(H51)</f>
        <v>382192.04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150637.26</v>
      </c>
      <c r="H619" s="109">
        <f>SUM(I51)</f>
        <v>150637.26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1750671.07</v>
      </c>
      <c r="H620" s="109">
        <f>SUM(J51)</f>
        <v>1750671.07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2640494.63</v>
      </c>
      <c r="H621" s="109">
        <f>F475</f>
        <v>2640494.6299999952</v>
      </c>
      <c r="I621" s="121" t="s">
        <v>101</v>
      </c>
      <c r="J621" s="109">
        <f t="shared" ref="J621:J654" si="50">G621-H621</f>
        <v>4.6566128730773926E-9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22395.34</v>
      </c>
      <c r="H622" s="109">
        <f>G475</f>
        <v>22395.339999999967</v>
      </c>
      <c r="I622" s="121" t="s">
        <v>102</v>
      </c>
      <c r="J622" s="109">
        <f t="shared" si="50"/>
        <v>3.2741809263825417E-11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34280</v>
      </c>
      <c r="H623" s="109">
        <f>H475</f>
        <v>34280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104905.26</v>
      </c>
      <c r="H624" s="109">
        <f>I475</f>
        <v>104905.26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1750671.07</v>
      </c>
      <c r="H625" s="109">
        <f>J475</f>
        <v>1750671.07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33897684.359999999</v>
      </c>
      <c r="H626" s="104">
        <f>SUM(F467)</f>
        <v>33897684.359999999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778175.41999999993</v>
      </c>
      <c r="H627" s="104">
        <f>SUM(G467)</f>
        <v>778175.41999999993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973630.52</v>
      </c>
      <c r="H628" s="104">
        <f>SUM(H467)</f>
        <v>973630.52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127.86</v>
      </c>
      <c r="H629" s="104">
        <f>SUM(I467)</f>
        <v>127.86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101824.25</v>
      </c>
      <c r="H630" s="104">
        <f>SUM(J467)</f>
        <v>101824.25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33762783.280000001</v>
      </c>
      <c r="H631" s="104">
        <f>SUM(F471)</f>
        <v>33762783.280000001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903808.41</v>
      </c>
      <c r="H632" s="104">
        <f>SUM(H471)</f>
        <v>903808.41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27714.92</v>
      </c>
      <c r="H633" s="104">
        <f>I368</f>
        <v>27714.92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.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778175.42</v>
      </c>
      <c r="H634" s="104">
        <f>SUM(G471)</f>
        <v>778175.42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.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101824.25</v>
      </c>
      <c r="H636" s="164">
        <f>SUM(J467)</f>
        <v>101824.25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1750671.07</v>
      </c>
      <c r="H638" s="104">
        <f>SUM(F460)</f>
        <v>1750671.07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1750671.07</v>
      </c>
      <c r="H641" s="104">
        <f>SUM(I460)</f>
        <v>1750671.07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13677.91</v>
      </c>
      <c r="H643" s="104">
        <f>H407</f>
        <v>13677.91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75000</v>
      </c>
      <c r="H644" s="104">
        <f>G407</f>
        <v>75000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101824.25</v>
      </c>
      <c r="H645" s="104">
        <f>L407</f>
        <v>101824.25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2549151.0299999998</v>
      </c>
      <c r="H646" s="104">
        <f>L207+L225+L243</f>
        <v>2549151.0300000003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447514.4</v>
      </c>
      <c r="H647" s="104">
        <f>(J256+J337)-(J254+J335)</f>
        <v>447514.4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1081005.77</v>
      </c>
      <c r="H648" s="104">
        <f>H597</f>
        <v>1081005.77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594860.19999999995</v>
      </c>
      <c r="H649" s="104">
        <f>I597</f>
        <v>594860.19999999995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873285.06</v>
      </c>
      <c r="H650" s="104">
        <f>J597</f>
        <v>873285.06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13941.03</v>
      </c>
      <c r="H651" s="104">
        <f>K262+K344</f>
        <v>13941.03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75000</v>
      </c>
      <c r="H654" s="104">
        <f>K265+K346</f>
        <v>75000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.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.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.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.2" customHeight="1" x14ac:dyDescent="0.15">
      <c r="A659" s="1" t="s">
        <v>126</v>
      </c>
      <c r="F659" s="19">
        <f>(L210+L289+L357)</f>
        <v>13203032.320000002</v>
      </c>
      <c r="G659" s="19">
        <f>(L228+L308+L358)</f>
        <v>8735290.8300000001</v>
      </c>
      <c r="H659" s="19">
        <f>(L246+L327+L359)</f>
        <v>10816804.619999999</v>
      </c>
      <c r="I659" s="19">
        <f>SUM(F659:H659)</f>
        <v>32755127.770000003</v>
      </c>
      <c r="J659" s="13"/>
      <c r="K659" s="13"/>
      <c r="L659" s="13"/>
      <c r="M659" s="9"/>
    </row>
    <row r="660" spans="1:13" s="3" customFormat="1" ht="12.2" customHeight="1" x14ac:dyDescent="0.2">
      <c r="A660" s="1" t="s">
        <v>127</v>
      </c>
      <c r="F660" s="19">
        <f>(L357/IF(SUM(L357:L359)=0,1,SUM(L357:L359))*(SUM(G96:G109)))</f>
        <v>255940.34580161888</v>
      </c>
      <c r="G660" s="19">
        <f>(L358/IF(SUM(L357:L359)=0,1,SUM(L357:L359))*(SUM(G96:G109)))</f>
        <v>137172.01898564206</v>
      </c>
      <c r="H660" s="19">
        <f>(L359/IF(SUM(L357:L359)=0,1,SUM(L357:L359))*(SUM(G96:G109)))</f>
        <v>186743.63521273903</v>
      </c>
      <c r="I660" s="19">
        <f>SUM(F660:H660)</f>
        <v>579856</v>
      </c>
      <c r="J660"/>
      <c r="K660" s="13"/>
      <c r="L660" s="13"/>
      <c r="M660" s="9"/>
    </row>
    <row r="661" spans="1:13" s="3" customFormat="1" ht="12.2" customHeight="1" x14ac:dyDescent="0.2">
      <c r="A661" s="1" t="s">
        <v>128</v>
      </c>
      <c r="F661" s="19">
        <f>(L207+L286)-(J207+J286)</f>
        <v>1081005.77</v>
      </c>
      <c r="G661" s="19">
        <f>(L225+L305)-(J225+J305)</f>
        <v>594860.19999999995</v>
      </c>
      <c r="H661" s="19">
        <f>(L243+L324)-(J243+J324)</f>
        <v>873285.06</v>
      </c>
      <c r="I661" s="19">
        <f>SUM(F661:H661)</f>
        <v>2549151.0300000003</v>
      </c>
      <c r="J661"/>
      <c r="K661" s="13"/>
      <c r="L661" s="13"/>
      <c r="M661" s="8"/>
    </row>
    <row r="662" spans="1:13" s="3" customFormat="1" ht="12.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469638.16000000003</v>
      </c>
      <c r="G662" s="199">
        <f>SUM(G574:G586)+SUM(I601:I603)+L611</f>
        <v>151688.88999999998</v>
      </c>
      <c r="H662" s="199">
        <f>SUM(H574:H586)+SUM(J601:J603)+L612</f>
        <v>763017.65999999992</v>
      </c>
      <c r="I662" s="19">
        <f>SUM(F662:H662)</f>
        <v>1384344.71</v>
      </c>
      <c r="J662" s="13"/>
      <c r="K662" s="13"/>
      <c r="L662" s="13"/>
      <c r="M662" s="9"/>
    </row>
    <row r="663" spans="1:13" s="3" customFormat="1" ht="12.2" customHeight="1" x14ac:dyDescent="0.15">
      <c r="A663" s="1" t="s">
        <v>130</v>
      </c>
      <c r="F663" s="19">
        <f>F659-SUM(F660:F662)</f>
        <v>11396448.044198383</v>
      </c>
      <c r="G663" s="19">
        <f>G659-SUM(G660:G662)</f>
        <v>7851569.7210143581</v>
      </c>
      <c r="H663" s="19">
        <f>H659-SUM(H660:H662)</f>
        <v>8993758.2647872604</v>
      </c>
      <c r="I663" s="19">
        <f>I659-SUM(I660:I662)</f>
        <v>28241776.030000001</v>
      </c>
      <c r="J663" s="13"/>
      <c r="K663" s="13"/>
      <c r="L663" s="13"/>
      <c r="M663" s="9"/>
    </row>
    <row r="664" spans="1:13" s="3" customFormat="1" ht="12.2" customHeight="1" x14ac:dyDescent="0.2">
      <c r="A664" s="1" t="s">
        <v>131</v>
      </c>
      <c r="F664" s="247">
        <f>722.62</f>
        <v>722.62</v>
      </c>
      <c r="G664" s="248">
        <v>492.03</v>
      </c>
      <c r="H664" s="248">
        <f>554.31</f>
        <v>554.30999999999995</v>
      </c>
      <c r="I664" s="19">
        <f>SUM(F664:H664)</f>
        <v>1768.96</v>
      </c>
      <c r="J664" s="13"/>
      <c r="K664" s="13"/>
      <c r="L664" s="13"/>
      <c r="M664" s="8"/>
    </row>
    <row r="665" spans="1:13" s="3" customFormat="1" ht="12.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.2" customHeight="1" x14ac:dyDescent="0.15">
      <c r="A666" s="29" t="s">
        <v>133</v>
      </c>
      <c r="F666" s="19">
        <f>ROUND(F663/F664,2)</f>
        <v>15771.01</v>
      </c>
      <c r="G666" s="19">
        <f>ROUND(G663/G664,2)</f>
        <v>15957.5</v>
      </c>
      <c r="H666" s="19">
        <f>ROUND(H663/H664,2)</f>
        <v>16225.14</v>
      </c>
      <c r="I666" s="19">
        <f>ROUND(I663/I664,2)</f>
        <v>15965.19</v>
      </c>
      <c r="J666" s="13"/>
      <c r="K666" s="13"/>
      <c r="L666" s="13"/>
      <c r="M666" s="9"/>
    </row>
    <row r="667" spans="1:13" s="3" customFormat="1" ht="12.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.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.2" customHeight="1" x14ac:dyDescent="0.15">
      <c r="A669" s="1" t="s">
        <v>135</v>
      </c>
      <c r="F669" s="18"/>
      <c r="G669" s="18"/>
      <c r="H669" s="18">
        <v>-10.73</v>
      </c>
      <c r="I669" s="19">
        <f>SUM(F669:H669)</f>
        <v>-10.73</v>
      </c>
      <c r="J669" s="13"/>
      <c r="K669" s="13"/>
      <c r="L669" s="13"/>
      <c r="M669" s="9"/>
    </row>
    <row r="670" spans="1:13" s="3" customFormat="1" ht="12.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.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15771.01</v>
      </c>
      <c r="G671" s="19">
        <f>ROUND((G663+G668)/(G664+G669),2)</f>
        <v>15957.5</v>
      </c>
      <c r="H671" s="19">
        <f>ROUND((H663+H668)/(H664+H669),2)</f>
        <v>16545.419999999998</v>
      </c>
      <c r="I671" s="19">
        <f>ROUND((I663+I668)/(I664+I669),2)</f>
        <v>16062.62</v>
      </c>
      <c r="J671" s="13"/>
      <c r="K671" s="13"/>
      <c r="L671" s="13"/>
    </row>
    <row r="672" spans="1:13" s="3" customFormat="1" ht="12.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.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.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Kearsarge Regional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9066531.5700000003</v>
      </c>
      <c r="C9" s="229">
        <f>'DOE25'!G196+'DOE25'!G214+'DOE25'!G232+'DOE25'!G275+'DOE25'!G294+'DOE25'!G313</f>
        <v>3930402.8299999996</v>
      </c>
    </row>
    <row r="10" spans="1:3" x14ac:dyDescent="0.2">
      <c r="A10" t="s">
        <v>779</v>
      </c>
      <c r="B10" s="240">
        <v>8243327.7800000003</v>
      </c>
      <c r="C10" s="240">
        <v>3655286.6</v>
      </c>
    </row>
    <row r="11" spans="1:3" x14ac:dyDescent="0.2">
      <c r="A11" t="s">
        <v>780</v>
      </c>
      <c r="B11" s="240">
        <v>232251.08</v>
      </c>
      <c r="C11" s="240">
        <v>63079.39</v>
      </c>
    </row>
    <row r="12" spans="1:3" x14ac:dyDescent="0.2">
      <c r="A12" t="s">
        <v>781</v>
      </c>
      <c r="B12" s="240">
        <v>590952.71</v>
      </c>
      <c r="C12" s="240">
        <v>212036.84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9066531.5700000003</v>
      </c>
      <c r="C13" s="231">
        <f>SUM(C10:C12)</f>
        <v>3930402.83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3494896.2</v>
      </c>
      <c r="C18" s="229">
        <f>'DOE25'!G197+'DOE25'!G215+'DOE25'!G233+'DOE25'!G276+'DOE25'!G295+'DOE25'!G314</f>
        <v>1024156.2799999999</v>
      </c>
    </row>
    <row r="19" spans="1:3" x14ac:dyDescent="0.2">
      <c r="A19" t="s">
        <v>779</v>
      </c>
      <c r="B19" s="240">
        <v>2290532.75</v>
      </c>
      <c r="C19" s="240">
        <v>847332.18</v>
      </c>
    </row>
    <row r="20" spans="1:3" x14ac:dyDescent="0.2">
      <c r="A20" t="s">
        <v>780</v>
      </c>
      <c r="B20" s="240">
        <v>1124220.27</v>
      </c>
      <c r="C20" s="240">
        <v>164806.5</v>
      </c>
    </row>
    <row r="21" spans="1:3" x14ac:dyDescent="0.2">
      <c r="A21" t="s">
        <v>781</v>
      </c>
      <c r="B21" s="240">
        <v>80143.179999999993</v>
      </c>
      <c r="C21" s="240">
        <v>12017.6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3494896.2</v>
      </c>
      <c r="C22" s="231">
        <f>SUM(C19:C21)</f>
        <v>1024156.28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260946</v>
      </c>
      <c r="C36" s="235">
        <f>'DOE25'!G199+'DOE25'!G217+'DOE25'!G235+'DOE25'!G278+'DOE25'!G297+'DOE25'!G316</f>
        <v>47876.88</v>
      </c>
    </row>
    <row r="37" spans="1:3" x14ac:dyDescent="0.2">
      <c r="A37" t="s">
        <v>779</v>
      </c>
      <c r="B37" s="240">
        <v>140806</v>
      </c>
      <c r="C37" s="240">
        <v>35677.99</v>
      </c>
    </row>
    <row r="38" spans="1:3" x14ac:dyDescent="0.2">
      <c r="A38" t="s">
        <v>780</v>
      </c>
      <c r="B38" s="240">
        <v>43282</v>
      </c>
      <c r="C38" s="240">
        <v>4336</v>
      </c>
    </row>
    <row r="39" spans="1:3" x14ac:dyDescent="0.2">
      <c r="A39" t="s">
        <v>781</v>
      </c>
      <c r="B39" s="240">
        <v>76858</v>
      </c>
      <c r="C39" s="240">
        <v>7862.89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260946</v>
      </c>
      <c r="C40" s="231">
        <f>SUM(C37:C39)</f>
        <v>47876.88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Kearsarge Regional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19583751.120000001</v>
      </c>
      <c r="D5" s="20">
        <f>SUM('DOE25'!L196:L199)+SUM('DOE25'!L214:L217)+SUM('DOE25'!L232:L235)-F5-G5</f>
        <v>19309935.789999999</v>
      </c>
      <c r="E5" s="243"/>
      <c r="F5" s="255">
        <f>SUM('DOE25'!J196:J199)+SUM('DOE25'!J214:J217)+SUM('DOE25'!J232:J235)</f>
        <v>246255.66</v>
      </c>
      <c r="G5" s="53">
        <f>SUM('DOE25'!K196:K199)+SUM('DOE25'!K214:K217)+SUM('DOE25'!K232:K235)</f>
        <v>27559.67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1405289.65</v>
      </c>
      <c r="D6" s="20">
        <f>'DOE25'!L201+'DOE25'!L219+'DOE25'!L237-F6-G6</f>
        <v>1405019.65</v>
      </c>
      <c r="E6" s="243"/>
      <c r="F6" s="255">
        <f>'DOE25'!J201+'DOE25'!J219+'DOE25'!J237</f>
        <v>270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596480.71</v>
      </c>
      <c r="D7" s="20">
        <f>'DOE25'!L202+'DOE25'!L220+'DOE25'!L238-F7-G7</f>
        <v>589762.63</v>
      </c>
      <c r="E7" s="243"/>
      <c r="F7" s="255">
        <f>'DOE25'!J202+'DOE25'!J220+'DOE25'!J238</f>
        <v>6718.08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1210336.8799999997</v>
      </c>
      <c r="D8" s="243"/>
      <c r="E8" s="20">
        <f>'DOE25'!L203+'DOE25'!L221+'DOE25'!L239-F8-G8-D9-D11</f>
        <v>1137417.2999999996</v>
      </c>
      <c r="F8" s="255">
        <f>'DOE25'!J203+'DOE25'!J221+'DOE25'!J239</f>
        <v>54070.96</v>
      </c>
      <c r="G8" s="53">
        <f>'DOE25'!K203+'DOE25'!K221+'DOE25'!K239</f>
        <v>18848.62</v>
      </c>
      <c r="H8" s="259"/>
    </row>
    <row r="9" spans="1:9" x14ac:dyDescent="0.2">
      <c r="A9" s="32">
        <v>2310</v>
      </c>
      <c r="B9" t="s">
        <v>818</v>
      </c>
      <c r="C9" s="245">
        <f t="shared" si="0"/>
        <v>35444.07</v>
      </c>
      <c r="D9" s="244">
        <v>35444.07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37000</v>
      </c>
      <c r="D10" s="243"/>
      <c r="E10" s="244">
        <v>37000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476260.67</v>
      </c>
      <c r="D11" s="244">
        <v>476260.67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1682377.46</v>
      </c>
      <c r="D12" s="20">
        <f>'DOE25'!L204+'DOE25'!L222+'DOE25'!L240-F12-G12</f>
        <v>1668840.66</v>
      </c>
      <c r="E12" s="243"/>
      <c r="F12" s="255">
        <f>'DOE25'!J204+'DOE25'!J222+'DOE25'!J240</f>
        <v>399.95</v>
      </c>
      <c r="G12" s="53">
        <f>'DOE25'!K204+'DOE25'!K222+'DOE25'!K240</f>
        <v>13136.85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3534052.3500000006</v>
      </c>
      <c r="D14" s="20">
        <f>'DOE25'!L206+'DOE25'!L224+'DOE25'!L242-F14-G14</f>
        <v>3467289.8800000004</v>
      </c>
      <c r="E14" s="243"/>
      <c r="F14" s="255">
        <f>'DOE25'!J206+'DOE25'!J224+'DOE25'!J242</f>
        <v>66762.47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2549151.0300000003</v>
      </c>
      <c r="D15" s="20">
        <f>'DOE25'!L207+'DOE25'!L225+'DOE25'!L243-F15-G15</f>
        <v>2549151.0300000003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14166.84</v>
      </c>
      <c r="D17" s="20">
        <f>'DOE25'!L250-F17-G17</f>
        <v>14166.84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2586531.4699999997</v>
      </c>
      <c r="D25" s="243"/>
      <c r="E25" s="243"/>
      <c r="F25" s="258"/>
      <c r="G25" s="256"/>
      <c r="H25" s="257">
        <f>'DOE25'!L259+'DOE25'!L260+'DOE25'!L340+'DOE25'!L341</f>
        <v>2586531.4699999997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750460.5</v>
      </c>
      <c r="D29" s="20">
        <f>'DOE25'!L357+'DOE25'!L358+'DOE25'!L359-'DOE25'!I366-F29-G29</f>
        <v>750348.7</v>
      </c>
      <c r="E29" s="243"/>
      <c r="F29" s="255">
        <f>'DOE25'!J357+'DOE25'!J358+'DOE25'!J359</f>
        <v>0</v>
      </c>
      <c r="G29" s="53">
        <f>'DOE25'!K357+'DOE25'!K358+'DOE25'!K359</f>
        <v>111.8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903808.41</v>
      </c>
      <c r="D31" s="20">
        <f>'DOE25'!L289+'DOE25'!L308+'DOE25'!L327+'DOE25'!L332+'DOE25'!L333+'DOE25'!L334-F31-G31</f>
        <v>802027.34</v>
      </c>
      <c r="E31" s="243"/>
      <c r="F31" s="255">
        <f>'DOE25'!J289+'DOE25'!J308+'DOE25'!J327+'DOE25'!J332+'DOE25'!J333+'DOE25'!J334</f>
        <v>73037.279999999999</v>
      </c>
      <c r="G31" s="53">
        <f>'DOE25'!K289+'DOE25'!K308+'DOE25'!K327+'DOE25'!K332+'DOE25'!K333+'DOE25'!K334</f>
        <v>28743.79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31068247.259999998</v>
      </c>
      <c r="E33" s="246">
        <f>SUM(E5:E31)</f>
        <v>1174417.2999999996</v>
      </c>
      <c r="F33" s="246">
        <f>SUM(F5:F31)</f>
        <v>447514.4</v>
      </c>
      <c r="G33" s="246">
        <f>SUM(G5:G31)</f>
        <v>88400.73</v>
      </c>
      <c r="H33" s="246">
        <f>SUM(H5:H31)</f>
        <v>2586531.4699999997</v>
      </c>
    </row>
    <row r="35" spans="2:8" ht="12" thickBot="1" x14ac:dyDescent="0.25">
      <c r="B35" s="253" t="s">
        <v>847</v>
      </c>
      <c r="D35" s="254">
        <f>E33</f>
        <v>1174417.2999999996</v>
      </c>
      <c r="E35" s="249"/>
    </row>
    <row r="36" spans="2:8" ht="12" thickTop="1" x14ac:dyDescent="0.2">
      <c r="B36" t="s">
        <v>815</v>
      </c>
      <c r="D36" s="20">
        <f>D33</f>
        <v>31068247.259999998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50" activePane="bottomLeft" state="frozen"/>
      <selection pane="bottomLeft" activeCell="J116" sqref="J11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Kearsarge Regional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1673651.6</v>
      </c>
      <c r="D8" s="95">
        <f>'DOE25'!G9</f>
        <v>0</v>
      </c>
      <c r="E8" s="95">
        <f>'DOE25'!H9</f>
        <v>0</v>
      </c>
      <c r="F8" s="95">
        <f>'DOE25'!I9</f>
        <v>150637.26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1488447.58</v>
      </c>
      <c r="D9" s="95">
        <f>'DOE25'!G10</f>
        <v>515235.26</v>
      </c>
      <c r="E9" s="95">
        <f>'DOE25'!H10</f>
        <v>0</v>
      </c>
      <c r="F9" s="95">
        <f>'DOE25'!I10</f>
        <v>0</v>
      </c>
      <c r="G9" s="95">
        <f>'DOE25'!J10</f>
        <v>1750669.07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807708.03</v>
      </c>
      <c r="D11" s="95">
        <f>'DOE25'!G12</f>
        <v>36988.54</v>
      </c>
      <c r="E11" s="95">
        <f>'DOE25'!H12</f>
        <v>150159.51999999999</v>
      </c>
      <c r="F11" s="95">
        <f>'DOE25'!I12</f>
        <v>0</v>
      </c>
      <c r="G11" s="95">
        <f>'DOE25'!J12</f>
        <v>2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343949.06</v>
      </c>
      <c r="D12" s="95">
        <f>'DOE25'!G13</f>
        <v>144532.14000000001</v>
      </c>
      <c r="E12" s="95">
        <f>'DOE25'!H13</f>
        <v>232032.52000000002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168.74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130632.88</v>
      </c>
      <c r="D15" s="95">
        <f>'DOE25'!G16</f>
        <v>22395.34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17376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4461933.8899999997</v>
      </c>
      <c r="D18" s="41">
        <f>SUM(D8:D17)</f>
        <v>719151.28</v>
      </c>
      <c r="E18" s="41">
        <f>SUM(E8:E17)</f>
        <v>382192.04000000004</v>
      </c>
      <c r="F18" s="41">
        <f>SUM(F8:F17)</f>
        <v>150637.26</v>
      </c>
      <c r="G18" s="41">
        <f>SUM(G8:G17)</f>
        <v>1750671.07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147417.25</v>
      </c>
      <c r="D21" s="95">
        <f>'DOE25'!G22</f>
        <v>686274.16</v>
      </c>
      <c r="E21" s="95">
        <f>'DOE25'!H22</f>
        <v>115434.68</v>
      </c>
      <c r="F21" s="95">
        <f>'DOE25'!I22</f>
        <v>45732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118269.79</v>
      </c>
      <c r="D23" s="95">
        <f>'DOE25'!G24</f>
        <v>0</v>
      </c>
      <c r="E23" s="95">
        <f>'DOE25'!H24</f>
        <v>444.98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1101118.83</v>
      </c>
      <c r="D27" s="95">
        <f>'DOE25'!G28</f>
        <v>0</v>
      </c>
      <c r="E27" s="95">
        <f>'DOE25'!H28</f>
        <v>25888.91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7020.75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447612.64</v>
      </c>
      <c r="D29" s="95">
        <f>'DOE25'!G30</f>
        <v>10481.780000000001</v>
      </c>
      <c r="E29" s="95">
        <f>'DOE25'!H30</f>
        <v>206143.47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1821439.2600000002</v>
      </c>
      <c r="D31" s="41">
        <f>SUM(D21:D30)</f>
        <v>696755.94000000006</v>
      </c>
      <c r="E31" s="41">
        <f>SUM(E21:E30)</f>
        <v>347912.04</v>
      </c>
      <c r="F31" s="41">
        <f>SUM(F21:F30)</f>
        <v>45732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130632.88</v>
      </c>
      <c r="D34" s="95">
        <f>'DOE25'!G35</f>
        <v>22395.34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17376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697010.57</v>
      </c>
      <c r="D44" s="95">
        <f>'DOE25'!G45</f>
        <v>0</v>
      </c>
      <c r="E44" s="95">
        <f>'DOE25'!H45</f>
        <v>34280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104905.26</v>
      </c>
      <c r="G46" s="95">
        <f>'DOE25'!J47</f>
        <v>1750671.07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1795475.1800000002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2640494.63</v>
      </c>
      <c r="D49" s="41">
        <f>SUM(D34:D48)</f>
        <v>22395.34</v>
      </c>
      <c r="E49" s="41">
        <f>SUM(E34:E48)</f>
        <v>34280</v>
      </c>
      <c r="F49" s="41">
        <f>SUM(F34:F48)</f>
        <v>104905.26</v>
      </c>
      <c r="G49" s="41">
        <f>SUM(G34:G48)</f>
        <v>1750671.07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4461933.8900000006</v>
      </c>
      <c r="D50" s="41">
        <f>D49+D31</f>
        <v>719151.28</v>
      </c>
      <c r="E50" s="41">
        <f>E49+E31</f>
        <v>382192.04</v>
      </c>
      <c r="F50" s="41">
        <f>F49+F31</f>
        <v>150637.26</v>
      </c>
      <c r="G50" s="41">
        <f>G49+G31</f>
        <v>1750671.07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21941013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84786.71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4326.4799999999996</v>
      </c>
      <c r="D58" s="95">
        <f>'DOE25'!G95</f>
        <v>771.16</v>
      </c>
      <c r="E58" s="95">
        <f>'DOE25'!H95</f>
        <v>0</v>
      </c>
      <c r="F58" s="95">
        <f>'DOE25'!I95</f>
        <v>127.86</v>
      </c>
      <c r="G58" s="95">
        <f>'DOE25'!J95</f>
        <v>13677.91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439456.26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126719.19</v>
      </c>
      <c r="D60" s="95">
        <f>SUM('DOE25'!G97:G109)</f>
        <v>140399.74</v>
      </c>
      <c r="E60" s="95">
        <f>SUM('DOE25'!H97:H109)</f>
        <v>116606.2</v>
      </c>
      <c r="F60" s="95">
        <f>SUM('DOE25'!I97:I109)</f>
        <v>0</v>
      </c>
      <c r="G60" s="95">
        <f>SUM('DOE25'!J97:J109)</f>
        <v>13146.34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215832.38</v>
      </c>
      <c r="D61" s="130">
        <f>SUM(D56:D60)</f>
        <v>580627.15999999992</v>
      </c>
      <c r="E61" s="130">
        <f>SUM(E56:E60)</f>
        <v>116606.2</v>
      </c>
      <c r="F61" s="130">
        <f>SUM(F56:F60)</f>
        <v>127.86</v>
      </c>
      <c r="G61" s="130">
        <f>SUM(G56:G60)</f>
        <v>26824.25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22156845.379999999</v>
      </c>
      <c r="D62" s="22">
        <f>D55+D61</f>
        <v>580627.15999999992</v>
      </c>
      <c r="E62" s="22">
        <f>E55+E61</f>
        <v>116606.2</v>
      </c>
      <c r="F62" s="22">
        <f>F55+F61</f>
        <v>127.86</v>
      </c>
      <c r="G62" s="22">
        <f>G55+G61</f>
        <v>26824.25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2831596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7137962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9969558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1153719.3700000001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331141.44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10927.73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6276.67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1495788.54</v>
      </c>
      <c r="D77" s="130">
        <f>SUM(D71:D76)</f>
        <v>6276.67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11465346.539999999</v>
      </c>
      <c r="D80" s="130">
        <f>SUM(D78:D79)+D77+D69</f>
        <v>6276.67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195758.9</v>
      </c>
      <c r="D87" s="95">
        <f>SUM('DOE25'!G152:G160)</f>
        <v>177330.56</v>
      </c>
      <c r="E87" s="95">
        <f>SUM('DOE25'!H152:H160)</f>
        <v>857024.32000000007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195758.9</v>
      </c>
      <c r="D90" s="131">
        <f>SUM(D84:D89)</f>
        <v>177330.56</v>
      </c>
      <c r="E90" s="131">
        <f>SUM(E84:E89)</f>
        <v>857024.32000000007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79733.539999999994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13941.03</v>
      </c>
      <c r="E95" s="95">
        <f>'DOE25'!H178</f>
        <v>0</v>
      </c>
      <c r="F95" s="95">
        <f>'DOE25'!I178</f>
        <v>0</v>
      </c>
      <c r="G95" s="95">
        <f>'DOE25'!J178</f>
        <v>75000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79733.539999999994</v>
      </c>
      <c r="D102" s="86">
        <f>SUM(D92:D101)</f>
        <v>13941.03</v>
      </c>
      <c r="E102" s="86">
        <f>SUM(E92:E101)</f>
        <v>0</v>
      </c>
      <c r="F102" s="86">
        <f>SUM(F92:F101)</f>
        <v>0</v>
      </c>
      <c r="G102" s="86">
        <f>SUM(G92:G101)</f>
        <v>75000</v>
      </c>
    </row>
    <row r="103" spans="1:7" ht="12.75" thickTop="1" thickBot="1" x14ac:dyDescent="0.25">
      <c r="A103" s="33" t="s">
        <v>765</v>
      </c>
      <c r="C103" s="86">
        <f>C62+C80+C90+C102</f>
        <v>33897684.359999999</v>
      </c>
      <c r="D103" s="86">
        <f>D62+D80+D90+D102</f>
        <v>778175.41999999993</v>
      </c>
      <c r="E103" s="86">
        <f>E62+E80+E90+E102</f>
        <v>973630.52</v>
      </c>
      <c r="F103" s="86">
        <f>F62+F80+F90+F102</f>
        <v>127.86</v>
      </c>
      <c r="G103" s="86">
        <f>G62+G80+G102</f>
        <v>101824.25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13789456.280000001</v>
      </c>
      <c r="D108" s="24" t="s">
        <v>289</v>
      </c>
      <c r="E108" s="95">
        <f>('DOE25'!L275)+('DOE25'!L294)+('DOE25'!L313)</f>
        <v>337305.94999999995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5292784.6800000006</v>
      </c>
      <c r="D109" s="24" t="s">
        <v>289</v>
      </c>
      <c r="E109" s="95">
        <f>('DOE25'!L276)+('DOE25'!L295)+('DOE25'!L314)</f>
        <v>264621.96000000002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66286.55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435223.61000000004</v>
      </c>
      <c r="D111" s="24" t="s">
        <v>289</v>
      </c>
      <c r="E111" s="95">
        <f>+('DOE25'!L278)+('DOE25'!L297)+('DOE25'!L316)</f>
        <v>8534.1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9" ht="12" thickBot="1" x14ac:dyDescent="0.25">
      <c r="A113" t="s">
        <v>203</v>
      </c>
      <c r="B113" s="32" t="s">
        <v>204</v>
      </c>
      <c r="C113" s="95">
        <f>SUM('DOE25'!L250:L252)</f>
        <v>14166.84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9" ht="12.75" thickTop="1" thickBot="1" x14ac:dyDescent="0.25">
      <c r="A114" s="33" t="s">
        <v>205</v>
      </c>
      <c r="C114" s="86">
        <f>SUM(C108:C113)</f>
        <v>19597917.960000001</v>
      </c>
      <c r="D114" s="86">
        <f>SUM(D108:D113)</f>
        <v>0</v>
      </c>
      <c r="E114" s="86">
        <f>SUM(E108:E113)</f>
        <v>610462.00999999989</v>
      </c>
      <c r="F114" s="86">
        <f>SUM(F108:F113)</f>
        <v>0</v>
      </c>
      <c r="G114" s="86">
        <f>SUM(G108:G113)</f>
        <v>0</v>
      </c>
    </row>
    <row r="115" spans="1:9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9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9" x14ac:dyDescent="0.2">
      <c r="A117" t="s">
        <v>206</v>
      </c>
      <c r="B117" s="32" t="s">
        <v>207</v>
      </c>
      <c r="C117" s="95">
        <f>('DOE25'!L201)+('DOE25'!L219)+('DOE25'!L237)</f>
        <v>1405289.65</v>
      </c>
      <c r="D117" s="24" t="s">
        <v>289</v>
      </c>
      <c r="E117" s="95">
        <f>+('DOE25'!L280)+('DOE25'!L299)+('DOE25'!L318)</f>
        <v>159410</v>
      </c>
      <c r="F117" s="24" t="s">
        <v>289</v>
      </c>
      <c r="G117" s="24" t="s">
        <v>289</v>
      </c>
      <c r="H117" s="18"/>
      <c r="I117" s="274"/>
    </row>
    <row r="118" spans="1:9" x14ac:dyDescent="0.2">
      <c r="A118" t="s">
        <v>208</v>
      </c>
      <c r="B118" s="32" t="s">
        <v>209</v>
      </c>
      <c r="C118" s="95">
        <f>('DOE25'!L202)+('DOE25'!L220)+('DOE25'!L238)</f>
        <v>596480.71</v>
      </c>
      <c r="D118" s="24" t="s">
        <v>289</v>
      </c>
      <c r="E118" s="95">
        <f>+('DOE25'!L281)+('DOE25'!L300)+('DOE25'!L319)</f>
        <v>88477.34</v>
      </c>
      <c r="F118" s="24" t="s">
        <v>289</v>
      </c>
      <c r="G118" s="24" t="s">
        <v>289</v>
      </c>
      <c r="H118" s="18"/>
      <c r="I118" s="274"/>
    </row>
    <row r="119" spans="1:9" x14ac:dyDescent="0.2">
      <c r="A119" t="s">
        <v>210</v>
      </c>
      <c r="B119" s="32" t="s">
        <v>211</v>
      </c>
      <c r="C119" s="95">
        <f>('DOE25'!L203)+('DOE25'!L221)+('DOE25'!L239)</f>
        <v>1722041.6199999996</v>
      </c>
      <c r="D119" s="24" t="s">
        <v>289</v>
      </c>
      <c r="E119" s="95">
        <f>+('DOE25'!L282)+('DOE25'!L301)+('DOE25'!L320)</f>
        <v>17595.269999999997</v>
      </c>
      <c r="F119" s="24" t="s">
        <v>289</v>
      </c>
      <c r="G119" s="24" t="s">
        <v>289</v>
      </c>
      <c r="H119" s="18"/>
      <c r="I119" s="274"/>
    </row>
    <row r="120" spans="1:9" x14ac:dyDescent="0.2">
      <c r="A120" t="s">
        <v>212</v>
      </c>
      <c r="B120" s="32" t="s">
        <v>213</v>
      </c>
      <c r="C120" s="95">
        <f>('DOE25'!L204)+('DOE25'!L222)+('DOE25'!L240)</f>
        <v>1682377.46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  <c r="H120" s="18"/>
      <c r="I120" s="274"/>
    </row>
    <row r="121" spans="1:9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  <c r="H121" s="18"/>
      <c r="I121" s="274"/>
    </row>
    <row r="122" spans="1:9" x14ac:dyDescent="0.2">
      <c r="A122" t="s">
        <v>216</v>
      </c>
      <c r="B122" s="32" t="s">
        <v>217</v>
      </c>
      <c r="C122" s="95">
        <f>('DOE25'!L206)+('DOE25'!L224)+('DOE25'!L242)</f>
        <v>3534052.3500000006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  <c r="H122" s="18"/>
      <c r="I122" s="274"/>
    </row>
    <row r="123" spans="1:9" x14ac:dyDescent="0.2">
      <c r="A123" t="s">
        <v>218</v>
      </c>
      <c r="B123" s="32" t="s">
        <v>219</v>
      </c>
      <c r="C123" s="95">
        <f>('DOE25'!L207)+('DOE25'!L225)+('DOE25'!L243+'DOE25'!L253)</f>
        <v>2549151.0300000003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  <c r="H123" s="18"/>
      <c r="I123" s="274"/>
    </row>
    <row r="124" spans="1:9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27863.79</v>
      </c>
      <c r="F124" s="24" t="s">
        <v>289</v>
      </c>
      <c r="G124" s="24" t="s">
        <v>289</v>
      </c>
      <c r="H124" s="18"/>
      <c r="I124" s="274"/>
    </row>
    <row r="125" spans="1:9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9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778175.42</v>
      </c>
      <c r="E126" s="24" t="s">
        <v>289</v>
      </c>
      <c r="F126" s="24" t="s">
        <v>289</v>
      </c>
      <c r="G126" s="24" t="s">
        <v>289</v>
      </c>
    </row>
    <row r="127" spans="1:9" ht="12.75" thickTop="1" thickBot="1" x14ac:dyDescent="0.25">
      <c r="A127" s="33" t="s">
        <v>226</v>
      </c>
      <c r="C127" s="86">
        <f>SUM(C117:C126)</f>
        <v>11489392.82</v>
      </c>
      <c r="D127" s="86">
        <f>SUM(D117:D126)</f>
        <v>778175.42</v>
      </c>
      <c r="E127" s="86">
        <f>SUM(E117:E126)</f>
        <v>293346.39999999997</v>
      </c>
      <c r="F127" s="86">
        <f>SUM(F117:F126)</f>
        <v>0</v>
      </c>
      <c r="G127" s="86">
        <f>SUM(G117:G126)</f>
        <v>0</v>
      </c>
    </row>
    <row r="128" spans="1:9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1893063.22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693468.25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13941.03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101824.25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-26824.25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2675472.4999999995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33762783.280000001</v>
      </c>
      <c r="D144" s="86">
        <f>(D114+D127+D143)</f>
        <v>778175.42</v>
      </c>
      <c r="E144" s="86">
        <f>(E114+E127+E143)</f>
        <v>903808.40999999992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10</v>
      </c>
      <c r="D150" s="153">
        <f>'DOE25'!H489</f>
        <v>20</v>
      </c>
      <c r="E150" s="153">
        <f>'DOE25'!I489</f>
        <v>15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8/02</v>
      </c>
      <c r="C151" s="152" t="str">
        <f>'DOE25'!G490</f>
        <v>8/04</v>
      </c>
      <c r="D151" s="152" t="str">
        <f>'DOE25'!H490</f>
        <v>08/06</v>
      </c>
      <c r="E151" s="152" t="str">
        <f>'DOE25'!I490</f>
        <v>11/10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8/12</v>
      </c>
      <c r="C152" s="152" t="str">
        <f>'DOE25'!G491</f>
        <v>8/14</v>
      </c>
      <c r="D152" s="152" t="str">
        <f>'DOE25'!H491</f>
        <v>08/26</v>
      </c>
      <c r="E152" s="152" t="str">
        <f>'DOE25'!I491</f>
        <v>7/25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667500</v>
      </c>
      <c r="C153" s="137">
        <f>'DOE25'!G492</f>
        <v>3259044</v>
      </c>
      <c r="D153" s="137">
        <f>'DOE25'!H492</f>
        <v>24450150</v>
      </c>
      <c r="E153" s="137">
        <f>'DOE25'!I492</f>
        <v>2231283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3.8</v>
      </c>
      <c r="C154" s="137">
        <f>'DOE25'!G493</f>
        <v>3.69</v>
      </c>
      <c r="D154" s="137">
        <f>'DOE25'!H493</f>
        <v>4.6100000000000003</v>
      </c>
      <c r="E154" s="137">
        <f>'DOE25'!I493</f>
        <v>4.375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65000</v>
      </c>
      <c r="C155" s="137">
        <f>'DOE25'!G494</f>
        <v>746788.31</v>
      </c>
      <c r="D155" s="137">
        <f>'DOE25'!H494</f>
        <v>15647139.859999999</v>
      </c>
      <c r="E155" s="137">
        <f>'DOE25'!I494</f>
        <v>2082530.8</v>
      </c>
      <c r="F155" s="137">
        <f>'DOE25'!J494</f>
        <v>0</v>
      </c>
      <c r="G155" s="138">
        <f>SUM(B155:F155)</f>
        <v>18541458.969999999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65000</v>
      </c>
      <c r="C157" s="137">
        <f>'DOE25'!G496</f>
        <v>262001.66</v>
      </c>
      <c r="D157" s="137">
        <f>'DOE25'!H496</f>
        <v>1417309.36</v>
      </c>
      <c r="E157" s="137">
        <f>'DOE25'!I496</f>
        <v>148752.20000000001</v>
      </c>
      <c r="F157" s="137">
        <f>'DOE25'!J496</f>
        <v>0</v>
      </c>
      <c r="G157" s="138">
        <f t="shared" si="0"/>
        <v>1893063.22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484786.65</v>
      </c>
      <c r="D158" s="137">
        <f>'DOE25'!H497</f>
        <v>14229830.5</v>
      </c>
      <c r="E158" s="137">
        <f>'DOE25'!I497</f>
        <v>1933778.6</v>
      </c>
      <c r="F158" s="137">
        <f>'DOE25'!J497</f>
        <v>0</v>
      </c>
      <c r="G158" s="138">
        <f t="shared" si="0"/>
        <v>16648395.75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292713.34999999998</v>
      </c>
      <c r="D159" s="137">
        <f>'DOE25'!H498</f>
        <v>12250384.529999999</v>
      </c>
      <c r="E159" s="137">
        <f>'DOE25'!I498</f>
        <v>549891.55000000005</v>
      </c>
      <c r="F159" s="137">
        <f>'DOE25'!J498</f>
        <v>0</v>
      </c>
      <c r="G159" s="138">
        <f t="shared" si="0"/>
        <v>13092989.43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777500</v>
      </c>
      <c r="D160" s="137">
        <f>'DOE25'!H499</f>
        <v>26480215.030000001</v>
      </c>
      <c r="E160" s="137">
        <f>'DOE25'!I499</f>
        <v>2483670.1500000004</v>
      </c>
      <c r="F160" s="137">
        <f>'DOE25'!J499</f>
        <v>0</v>
      </c>
      <c r="G160" s="138">
        <f t="shared" si="0"/>
        <v>29741385.18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247838.22</v>
      </c>
      <c r="D161" s="137">
        <f>'DOE25'!H500</f>
        <v>1350560.22</v>
      </c>
      <c r="E161" s="137">
        <f>'DOE25'!I500</f>
        <v>148752.20000000001</v>
      </c>
      <c r="F161" s="137">
        <f>'DOE25'!J500</f>
        <v>0</v>
      </c>
      <c r="G161" s="138">
        <f t="shared" si="0"/>
        <v>1747150.64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140161.78</v>
      </c>
      <c r="D162" s="137">
        <f>'DOE25'!H501</f>
        <v>539062.28</v>
      </c>
      <c r="E162" s="137">
        <f>'DOE25'!I501</f>
        <v>81322.11</v>
      </c>
      <c r="F162" s="137">
        <f>'DOE25'!J501</f>
        <v>0</v>
      </c>
      <c r="G162" s="138">
        <f t="shared" si="0"/>
        <v>760546.17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388000</v>
      </c>
      <c r="D163" s="137">
        <f>'DOE25'!H502</f>
        <v>1889622.5</v>
      </c>
      <c r="E163" s="137">
        <f>'DOE25'!I502</f>
        <v>230074.31</v>
      </c>
      <c r="F163" s="137">
        <f>'DOE25'!J502</f>
        <v>0</v>
      </c>
      <c r="G163" s="138">
        <f t="shared" si="0"/>
        <v>2507696.81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6" workbookViewId="0">
      <selection activeCell="L34" sqref="L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Kearsarge Regional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15771</v>
      </c>
    </row>
    <row r="5" spans="1:4" x14ac:dyDescent="0.2">
      <c r="B5" t="s">
        <v>704</v>
      </c>
      <c r="C5" s="179">
        <f>IF('DOE25'!G664+'DOE25'!G669=0,0,ROUND('DOE25'!G671,0))</f>
        <v>15958</v>
      </c>
    </row>
    <row r="6" spans="1:4" x14ac:dyDescent="0.2">
      <c r="B6" t="s">
        <v>62</v>
      </c>
      <c r="C6" s="179">
        <f>IF('DOE25'!H664+'DOE25'!H669=0,0,ROUND('DOE25'!H671,0))</f>
        <v>16545</v>
      </c>
    </row>
    <row r="7" spans="1:4" x14ac:dyDescent="0.2">
      <c r="B7" t="s">
        <v>705</v>
      </c>
      <c r="C7" s="179">
        <f>IF('DOE25'!I664+'DOE25'!I669=0,0,ROUND('DOE25'!I671,0))</f>
        <v>16063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14126762</v>
      </c>
      <c r="D10" s="182">
        <f>ROUND((C10/$C$28)*100,1)</f>
        <v>43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5557407</v>
      </c>
      <c r="D11" s="182">
        <f>ROUND((C11/$C$28)*100,1)</f>
        <v>16.899999999999999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66287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443758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1564700</v>
      </c>
      <c r="D15" s="182">
        <f t="shared" ref="D15:D27" si="0">ROUND((C15/$C$28)*100,1)</f>
        <v>4.8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684958</v>
      </c>
      <c r="D16" s="182">
        <f t="shared" si="0"/>
        <v>2.1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1767501</v>
      </c>
      <c r="D17" s="182">
        <f t="shared" si="0"/>
        <v>5.4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1682377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3534052</v>
      </c>
      <c r="D20" s="182">
        <f t="shared" si="0"/>
        <v>10.7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2549151</v>
      </c>
      <c r="D21" s="182">
        <f t="shared" si="0"/>
        <v>7.8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14167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693468</v>
      </c>
      <c r="D25" s="182">
        <f t="shared" si="0"/>
        <v>2.1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198319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32882907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32882907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1893063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21941013</v>
      </c>
      <c r="D35" s="182">
        <f t="shared" ref="D35:D40" si="1">ROUND((C35/$C$41)*100,1)</f>
        <v>62.7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360161.85000000149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9969558</v>
      </c>
      <c r="D37" s="182">
        <f t="shared" si="1"/>
        <v>28.5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1502065</v>
      </c>
      <c r="D38" s="182">
        <f t="shared" si="1"/>
        <v>4.3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1230114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35002911.850000001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79734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10" sqref="C10:M1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6" t="s">
        <v>770</v>
      </c>
      <c r="B1" s="297"/>
      <c r="C1" s="297"/>
      <c r="D1" s="297"/>
      <c r="E1" s="297"/>
      <c r="F1" s="297"/>
      <c r="G1" s="297"/>
      <c r="H1" s="297"/>
      <c r="I1" s="297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300" t="str">
        <f>'DOE25'!A2</f>
        <v>Kearsarge Regional</v>
      </c>
      <c r="G2" s="301"/>
      <c r="H2" s="301"/>
      <c r="I2" s="301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8" t="s">
        <v>771</v>
      </c>
      <c r="D3" s="298"/>
      <c r="E3" s="298"/>
      <c r="F3" s="298"/>
      <c r="G3" s="298"/>
      <c r="H3" s="298"/>
      <c r="I3" s="298"/>
      <c r="J3" s="298"/>
      <c r="K3" s="298"/>
      <c r="L3" s="298"/>
      <c r="M3" s="299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 t="s">
        <v>918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 t="s">
        <v>919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 t="s">
        <v>917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 t="s">
        <v>920</v>
      </c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 t="s">
        <v>921</v>
      </c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7" t="s">
        <v>848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</row>
    <row r="74" spans="1:13" x14ac:dyDescent="0.2">
      <c r="A74" s="211"/>
      <c r="B74" s="211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</row>
    <row r="75" spans="1:13" x14ac:dyDescent="0.2">
      <c r="A75" s="211"/>
      <c r="B75" s="211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</row>
    <row r="76" spans="1:13" x14ac:dyDescent="0.2">
      <c r="A76" s="211"/>
      <c r="B76" s="211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</row>
    <row r="77" spans="1:13" x14ac:dyDescent="0.2">
      <c r="A77" s="211"/>
      <c r="B77" s="211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</row>
    <row r="78" spans="1:13" x14ac:dyDescent="0.2">
      <c r="A78" s="211"/>
      <c r="B78" s="211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</row>
    <row r="79" spans="1:13" x14ac:dyDescent="0.2">
      <c r="A79" s="211"/>
      <c r="B79" s="211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</row>
    <row r="80" spans="1:13" x14ac:dyDescent="0.2">
      <c r="A80" s="211"/>
      <c r="B80" s="211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</row>
    <row r="81" spans="1:13" x14ac:dyDescent="0.2">
      <c r="A81" s="211"/>
      <c r="B81" s="211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</row>
    <row r="82" spans="1:13" x14ac:dyDescent="0.2">
      <c r="A82" s="211"/>
      <c r="B82" s="211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</row>
    <row r="83" spans="1:13" x14ac:dyDescent="0.2">
      <c r="A83" s="211"/>
      <c r="B83" s="211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</row>
    <row r="84" spans="1:13" x14ac:dyDescent="0.2">
      <c r="A84" s="211"/>
      <c r="B84" s="211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</row>
    <row r="85" spans="1:13" x14ac:dyDescent="0.2">
      <c r="A85" s="211"/>
      <c r="B85" s="211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</row>
    <row r="86" spans="1:13" x14ac:dyDescent="0.2">
      <c r="A86" s="211"/>
      <c r="B86" s="211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</row>
    <row r="87" spans="1:13" x14ac:dyDescent="0.2">
      <c r="A87" s="211"/>
      <c r="B87" s="211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</row>
    <row r="88" spans="1:13" x14ac:dyDescent="0.2">
      <c r="A88" s="211"/>
      <c r="B88" s="211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</row>
    <row r="89" spans="1:13" x14ac:dyDescent="0.2">
      <c r="A89" s="211"/>
      <c r="B89" s="211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</row>
    <row r="90" spans="1:13" x14ac:dyDescent="0.2">
      <c r="A90" s="211"/>
      <c r="B90" s="211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</row>
  </sheetData>
  <sheetProtection password="BB0A" sheet="1" objects="1" scenarios="1"/>
  <mergeCells count="223">
    <mergeCell ref="IP40:IV40"/>
    <mergeCell ref="IC40:IM40"/>
    <mergeCell ref="BC40:BM40"/>
    <mergeCell ref="BP40:BZ40"/>
    <mergeCell ref="FC40:FM40"/>
    <mergeCell ref="GP40:GZ40"/>
    <mergeCell ref="P39:Z39"/>
    <mergeCell ref="AC39:AM39"/>
    <mergeCell ref="HC40:HM40"/>
    <mergeCell ref="HP40:HZ40"/>
    <mergeCell ref="EC40:EM40"/>
    <mergeCell ref="DP39:DZ39"/>
    <mergeCell ref="EC39:EM39"/>
    <mergeCell ref="AP39:AZ39"/>
    <mergeCell ref="GC39:GM39"/>
    <mergeCell ref="BP39:BZ39"/>
    <mergeCell ref="CC38:CM38"/>
    <mergeCell ref="BC38:BM38"/>
    <mergeCell ref="BP38:BZ38"/>
    <mergeCell ref="C46:M46"/>
    <mergeCell ref="GC40:GM40"/>
    <mergeCell ref="C40:M40"/>
    <mergeCell ref="P40:Z40"/>
    <mergeCell ref="AC40:AM40"/>
    <mergeCell ref="FP40:FZ40"/>
    <mergeCell ref="CC40:CM40"/>
    <mergeCell ref="CP40:CZ40"/>
    <mergeCell ref="DC40:DM40"/>
    <mergeCell ref="EP40:EZ40"/>
    <mergeCell ref="CC39:CM39"/>
    <mergeCell ref="CP39:CZ39"/>
    <mergeCell ref="HC39:HM39"/>
    <mergeCell ref="DC39:DM39"/>
    <mergeCell ref="FP39:FZ39"/>
    <mergeCell ref="GP39:GZ39"/>
    <mergeCell ref="C44:M44"/>
    <mergeCell ref="DP40:DZ40"/>
    <mergeCell ref="C43:M43"/>
    <mergeCell ref="EC32:EM32"/>
    <mergeCell ref="EP32:EZ32"/>
    <mergeCell ref="FC32:FM32"/>
    <mergeCell ref="IP38:IV38"/>
    <mergeCell ref="CP38:CZ38"/>
    <mergeCell ref="HC38:HM38"/>
    <mergeCell ref="DC38:DM38"/>
    <mergeCell ref="DP38:DZ38"/>
    <mergeCell ref="EC38:EM38"/>
    <mergeCell ref="FP38:FZ38"/>
    <mergeCell ref="GC38:GM38"/>
    <mergeCell ref="GP38:GZ38"/>
    <mergeCell ref="GP31:GZ31"/>
    <mergeCell ref="IP39:IV39"/>
    <mergeCell ref="EP39:EZ39"/>
    <mergeCell ref="FC39:FM39"/>
    <mergeCell ref="IC32:IM32"/>
    <mergeCell ref="IP32:IV32"/>
    <mergeCell ref="EP38:EZ38"/>
    <mergeCell ref="FC38:FM38"/>
    <mergeCell ref="HP32:HZ32"/>
    <mergeCell ref="GP32:GZ32"/>
    <mergeCell ref="HC32:HM32"/>
    <mergeCell ref="HP39:HZ39"/>
    <mergeCell ref="HP38:HZ38"/>
    <mergeCell ref="IC38:IM38"/>
    <mergeCell ref="IC39:IM3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HP29:HZ29"/>
    <mergeCell ref="IC29:IM29"/>
    <mergeCell ref="FP29:FZ29"/>
    <mergeCell ref="GC29:GM29"/>
    <mergeCell ref="GP29:GZ29"/>
    <mergeCell ref="HC29:HM29"/>
    <mergeCell ref="EC29:EM29"/>
    <mergeCell ref="EP29:EZ29"/>
    <mergeCell ref="IP30:IV30"/>
    <mergeCell ref="AP40:AZ40"/>
    <mergeCell ref="BC31:BM31"/>
    <mergeCell ref="BC32:BM32"/>
    <mergeCell ref="BC39:BM39"/>
    <mergeCell ref="BP31:BZ31"/>
    <mergeCell ref="IP31:IV31"/>
    <mergeCell ref="CP32:CZ32"/>
    <mergeCell ref="CP30:CZ30"/>
    <mergeCell ref="EC30:EM30"/>
    <mergeCell ref="EP30:EZ30"/>
    <mergeCell ref="FP32:FZ32"/>
    <mergeCell ref="GC32:GM32"/>
    <mergeCell ref="HC31:HM31"/>
    <mergeCell ref="DP32:DZ32"/>
    <mergeCell ref="CP31:CZ31"/>
    <mergeCell ref="IC30:IM30"/>
    <mergeCell ref="HC30:HM30"/>
    <mergeCell ref="DC31:DM31"/>
    <mergeCell ref="DP31:DZ31"/>
    <mergeCell ref="EC31:EM31"/>
    <mergeCell ref="EP31:EZ31"/>
    <mergeCell ref="HP31:HZ31"/>
    <mergeCell ref="IC31:IM31"/>
    <mergeCell ref="HP30:HZ30"/>
    <mergeCell ref="FC30:FM30"/>
    <mergeCell ref="FP30:FZ30"/>
    <mergeCell ref="FC31:FM31"/>
    <mergeCell ref="FP31:FZ31"/>
    <mergeCell ref="GC31:GM31"/>
    <mergeCell ref="DP30:DZ30"/>
    <mergeCell ref="DC29:DM29"/>
    <mergeCell ref="C30:M30"/>
    <mergeCell ref="C21:M21"/>
    <mergeCell ref="CC29:CM29"/>
    <mergeCell ref="CC30:CM30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DP29:DZ29"/>
    <mergeCell ref="C17:M17"/>
    <mergeCell ref="C6:M6"/>
    <mergeCell ref="C7:M7"/>
    <mergeCell ref="C14:M14"/>
    <mergeCell ref="C16:M16"/>
    <mergeCell ref="C15:M15"/>
    <mergeCell ref="A2:E2"/>
    <mergeCell ref="C8:M8"/>
    <mergeCell ref="C13:M13"/>
    <mergeCell ref="C5:M5"/>
    <mergeCell ref="C22:M22"/>
    <mergeCell ref="C23:M23"/>
    <mergeCell ref="DC32:DM32"/>
    <mergeCell ref="CC32:CM32"/>
    <mergeCell ref="C32:M32"/>
    <mergeCell ref="BP32:BZ32"/>
    <mergeCell ref="AC32:AM32"/>
    <mergeCell ref="C9:M9"/>
    <mergeCell ref="C10:M10"/>
    <mergeCell ref="C11:M11"/>
    <mergeCell ref="C12:M12"/>
    <mergeCell ref="C31:M31"/>
    <mergeCell ref="C18:M18"/>
    <mergeCell ref="C19:M19"/>
    <mergeCell ref="C20:M20"/>
    <mergeCell ref="C25:M25"/>
    <mergeCell ref="C26:M26"/>
    <mergeCell ref="BC30:BM30"/>
    <mergeCell ref="BP30:BZ30"/>
    <mergeCell ref="DC30:DM30"/>
    <mergeCell ref="CC31:CM31"/>
    <mergeCell ref="AP31:AZ31"/>
    <mergeCell ref="P32:Z32"/>
    <mergeCell ref="AP32:AZ32"/>
    <mergeCell ref="C52:M52"/>
    <mergeCell ref="C50:M50"/>
    <mergeCell ref="C47:M47"/>
    <mergeCell ref="C48:M48"/>
    <mergeCell ref="C49:M49"/>
    <mergeCell ref="C24:M24"/>
    <mergeCell ref="C29:M29"/>
    <mergeCell ref="C39:M39"/>
    <mergeCell ref="C34:M34"/>
    <mergeCell ref="C35:M35"/>
    <mergeCell ref="C36:M36"/>
    <mergeCell ref="C38:M38"/>
    <mergeCell ref="C27:M27"/>
    <mergeCell ref="C28:M28"/>
    <mergeCell ref="AP29:AZ29"/>
    <mergeCell ref="C45:M45"/>
    <mergeCell ref="P38:Z38"/>
    <mergeCell ref="AC38:AM38"/>
    <mergeCell ref="AP38:AZ38"/>
    <mergeCell ref="C89:M89"/>
    <mergeCell ref="C90:M90"/>
    <mergeCell ref="C63:M63"/>
    <mergeCell ref="C64:M64"/>
    <mergeCell ref="C65:M65"/>
    <mergeCell ref="C85:M85"/>
    <mergeCell ref="C86:M86"/>
    <mergeCell ref="P31:Z31"/>
    <mergeCell ref="AC31:AM31"/>
    <mergeCell ref="C87:M87"/>
    <mergeCell ref="C88:M88"/>
    <mergeCell ref="C79:M79"/>
    <mergeCell ref="C80:M80"/>
    <mergeCell ref="C83:M83"/>
    <mergeCell ref="C84:M84"/>
    <mergeCell ref="C81:M81"/>
    <mergeCell ref="C82:M82"/>
    <mergeCell ref="C51:M51"/>
    <mergeCell ref="C62:M62"/>
    <mergeCell ref="C61:M61"/>
    <mergeCell ref="C53:M53"/>
    <mergeCell ref="C54:M54"/>
    <mergeCell ref="C55:M55"/>
    <mergeCell ref="C75:M75"/>
    <mergeCell ref="C67:M67"/>
    <mergeCell ref="C68:M68"/>
    <mergeCell ref="C69:M69"/>
    <mergeCell ref="C56:M56"/>
    <mergeCell ref="C66:M66"/>
    <mergeCell ref="C70:M70"/>
    <mergeCell ref="C57:M57"/>
    <mergeCell ref="C59:M59"/>
    <mergeCell ref="C77:M77"/>
    <mergeCell ref="C78:M78"/>
    <mergeCell ref="C76:M76"/>
    <mergeCell ref="A72:E72"/>
    <mergeCell ref="C73:M73"/>
    <mergeCell ref="C74:M74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LLeBoeuf</dc:creator>
  <dc:description>Version for FY2006-07 School Year.</dc:description>
  <cp:lastModifiedBy>Leclerc, Ron</cp:lastModifiedBy>
  <cp:lastPrinted>2013-09-19T15:07:04Z</cp:lastPrinted>
  <dcterms:created xsi:type="dcterms:W3CDTF">1997-12-04T19:04:30Z</dcterms:created>
  <dcterms:modified xsi:type="dcterms:W3CDTF">2013-12-05T18:48:00Z</dcterms:modified>
</cp:coreProperties>
</file>