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B37" i="12"/>
  <c r="B40" i="12" s="1"/>
  <c r="A40" i="12" s="1"/>
  <c r="C29" i="12"/>
  <c r="B30" i="12"/>
  <c r="B28" i="12"/>
  <c r="B19" i="12"/>
  <c r="B21" i="12"/>
  <c r="B22" i="12" s="1"/>
  <c r="B20" i="12"/>
  <c r="C20" i="12" s="1"/>
  <c r="F196" i="1"/>
  <c r="F210" i="1" s="1"/>
  <c r="F256" i="1" s="1"/>
  <c r="F270" i="1" s="1"/>
  <c r="B10" i="12"/>
  <c r="B12" i="12"/>
  <c r="C12" i="12" s="1"/>
  <c r="B11" i="12"/>
  <c r="J603" i="1"/>
  <c r="H603" i="1"/>
  <c r="K603" i="1" s="1"/>
  <c r="I603" i="1"/>
  <c r="J224" i="1"/>
  <c r="F14" i="13" s="1"/>
  <c r="J220" i="1"/>
  <c r="F367" i="1"/>
  <c r="F368" i="1" s="1"/>
  <c r="F366" i="1"/>
  <c r="J590" i="1"/>
  <c r="I594" i="1"/>
  <c r="I590" i="1"/>
  <c r="K590" i="1" s="1"/>
  <c r="H590" i="1"/>
  <c r="J594" i="1"/>
  <c r="K594" i="1" s="1"/>
  <c r="J591" i="1"/>
  <c r="I591" i="1"/>
  <c r="H591" i="1"/>
  <c r="I612" i="1"/>
  <c r="I611" i="1"/>
  <c r="I610" i="1"/>
  <c r="I613" i="1" s="1"/>
  <c r="F612" i="1"/>
  <c r="G612" i="1" s="1"/>
  <c r="F611" i="1"/>
  <c r="F610" i="1"/>
  <c r="G610" i="1" s="1"/>
  <c r="G527" i="1"/>
  <c r="J522" i="1"/>
  <c r="I522" i="1"/>
  <c r="H522" i="1"/>
  <c r="G522" i="1"/>
  <c r="L522" i="1" s="1"/>
  <c r="F550" i="1" s="1"/>
  <c r="F522" i="1"/>
  <c r="G532" i="1"/>
  <c r="L532" i="1" s="1"/>
  <c r="H550" i="1" s="1"/>
  <c r="G526" i="1"/>
  <c r="G531" i="1"/>
  <c r="J521" i="1"/>
  <c r="I521" i="1"/>
  <c r="I523" i="1" s="1"/>
  <c r="H521" i="1"/>
  <c r="G521" i="1"/>
  <c r="F521" i="1"/>
  <c r="G530" i="1"/>
  <c r="G525" i="1"/>
  <c r="G520" i="1"/>
  <c r="G523" i="1" s="1"/>
  <c r="J520" i="1"/>
  <c r="H520" i="1"/>
  <c r="I520" i="1"/>
  <c r="F520" i="1"/>
  <c r="L520" i="1" s="1"/>
  <c r="F548" i="1" s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C19" i="10" s="1"/>
  <c r="L223" i="1"/>
  <c r="L241" i="1"/>
  <c r="F16" i="13"/>
  <c r="G16" i="13"/>
  <c r="L208" i="1"/>
  <c r="L226" i="1"/>
  <c r="C124" i="2" s="1"/>
  <c r="L244" i="1"/>
  <c r="F5" i="13"/>
  <c r="G5" i="13"/>
  <c r="L196" i="1"/>
  <c r="C10" i="10" s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G33" i="13" s="1"/>
  <c r="L202" i="1"/>
  <c r="L220" i="1"/>
  <c r="L238" i="1"/>
  <c r="F12" i="13"/>
  <c r="G12" i="13"/>
  <c r="L204" i="1"/>
  <c r="C120" i="2" s="1"/>
  <c r="L222" i="1"/>
  <c r="L240" i="1"/>
  <c r="G14" i="13"/>
  <c r="L206" i="1"/>
  <c r="L224" i="1"/>
  <c r="C20" i="10" s="1"/>
  <c r="L242" i="1"/>
  <c r="F15" i="13"/>
  <c r="G15" i="13"/>
  <c r="L207" i="1"/>
  <c r="G648" i="1" s="1"/>
  <c r="L225" i="1"/>
  <c r="L243" i="1"/>
  <c r="G650" i="1" s="1"/>
  <c r="F17" i="13"/>
  <c r="G17" i="13"/>
  <c r="D17" i="13" s="1"/>
  <c r="L250" i="1"/>
  <c r="F18" i="13"/>
  <c r="G18" i="13"/>
  <c r="L251" i="1"/>
  <c r="D18" i="13" s="1"/>
  <c r="C18" i="13" s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G661" i="1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C37" i="12" s="1"/>
  <c r="C40" i="12" s="1"/>
  <c r="B27" i="12"/>
  <c r="C27" i="12"/>
  <c r="B9" i="12"/>
  <c r="C9" i="12"/>
  <c r="B18" i="12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C40" i="10"/>
  <c r="F59" i="1"/>
  <c r="G59" i="1"/>
  <c r="H59" i="1"/>
  <c r="I59" i="1"/>
  <c r="F78" i="1"/>
  <c r="F93" i="1"/>
  <c r="C57" i="2" s="1"/>
  <c r="F110" i="1"/>
  <c r="G110" i="1"/>
  <c r="H78" i="1"/>
  <c r="H93" i="1"/>
  <c r="H110" i="1"/>
  <c r="I110" i="1"/>
  <c r="J110" i="1"/>
  <c r="J111" i="1" s="1"/>
  <c r="F120" i="1"/>
  <c r="F135" i="1"/>
  <c r="F139" i="1" s="1"/>
  <c r="G120" i="1"/>
  <c r="G135" i="1"/>
  <c r="H120" i="1"/>
  <c r="H135" i="1"/>
  <c r="H139" i="1" s="1"/>
  <c r="I120" i="1"/>
  <c r="I135" i="1"/>
  <c r="I139" i="1" s="1"/>
  <c r="J120" i="1"/>
  <c r="J135" i="1"/>
  <c r="F146" i="1"/>
  <c r="F161" i="1"/>
  <c r="F168" i="1" s="1"/>
  <c r="G146" i="1"/>
  <c r="G161" i="1"/>
  <c r="G168" i="1" s="1"/>
  <c r="H146" i="1"/>
  <c r="H161" i="1"/>
  <c r="H168" i="1" s="1"/>
  <c r="I146" i="1"/>
  <c r="I161" i="1"/>
  <c r="C11" i="10"/>
  <c r="C12" i="10"/>
  <c r="C13" i="10"/>
  <c r="C15" i="10"/>
  <c r="C21" i="10"/>
  <c r="L249" i="1"/>
  <c r="L331" i="1"/>
  <c r="L253" i="1"/>
  <c r="L267" i="1"/>
  <c r="L268" i="1"/>
  <c r="L348" i="1"/>
  <c r="L349" i="1"/>
  <c r="I664" i="1"/>
  <c r="I669" i="1"/>
  <c r="L210" i="1"/>
  <c r="F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E136" i="2" s="1"/>
  <c r="L346" i="1"/>
  <c r="K350" i="1"/>
  <c r="L521" i="1"/>
  <c r="F549" i="1" s="1"/>
  <c r="L525" i="1"/>
  <c r="L526" i="1"/>
  <c r="G549" i="1" s="1"/>
  <c r="L527" i="1"/>
  <c r="G550" i="1" s="1"/>
  <c r="K550" i="1" s="1"/>
  <c r="L531" i="1"/>
  <c r="H549" i="1" s="1"/>
  <c r="L535" i="1"/>
  <c r="L536" i="1"/>
  <c r="I549" i="1" s="1"/>
  <c r="L537" i="1"/>
  <c r="I550" i="1" s="1"/>
  <c r="L540" i="1"/>
  <c r="J548" i="1" s="1"/>
  <c r="L541" i="1"/>
  <c r="J549" i="1" s="1"/>
  <c r="K549" i="1" s="1"/>
  <c r="L542" i="1"/>
  <c r="J550" i="1" s="1"/>
  <c r="E131" i="2"/>
  <c r="E143" i="2" s="1"/>
  <c r="E130" i="2"/>
  <c r="K269" i="1"/>
  <c r="J269" i="1"/>
  <c r="I269" i="1"/>
  <c r="H269" i="1"/>
  <c r="G269" i="1"/>
  <c r="L269" i="1" s="1"/>
  <c r="F269" i="1"/>
  <c r="C131" i="2"/>
  <c r="C130" i="2"/>
  <c r="A1" i="2"/>
  <c r="A2" i="2"/>
  <c r="C8" i="2"/>
  <c r="D8" i="2"/>
  <c r="E8" i="2"/>
  <c r="E18" i="2" s="1"/>
  <c r="F8" i="2"/>
  <c r="I438" i="1"/>
  <c r="J9" i="1" s="1"/>
  <c r="G8" i="2" s="1"/>
  <c r="C9" i="2"/>
  <c r="D9" i="2"/>
  <c r="D18" i="2" s="1"/>
  <c r="E9" i="2"/>
  <c r="F9" i="2"/>
  <c r="F18" i="2" s="1"/>
  <c r="I439" i="1"/>
  <c r="J10" i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D62" i="2" s="1"/>
  <c r="D103" i="2" s="1"/>
  <c r="E55" i="2"/>
  <c r="F55" i="2"/>
  <c r="C56" i="2"/>
  <c r="E56" i="2"/>
  <c r="E61" i="2" s="1"/>
  <c r="E62" i="2" s="1"/>
  <c r="E103" i="2" s="1"/>
  <c r="E57" i="2"/>
  <c r="C58" i="2"/>
  <c r="D58" i="2"/>
  <c r="E58" i="2"/>
  <c r="F58" i="2"/>
  <c r="F61" i="2" s="1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E109" i="2"/>
  <c r="E110" i="2"/>
  <c r="E111" i="2"/>
  <c r="C112" i="2"/>
  <c r="C113" i="2"/>
  <c r="D114" i="2"/>
  <c r="F114" i="2"/>
  <c r="G114" i="2"/>
  <c r="E117" i="2"/>
  <c r="E118" i="2"/>
  <c r="E120" i="2"/>
  <c r="C122" i="2"/>
  <c r="E122" i="2"/>
  <c r="C123" i="2"/>
  <c r="E124" i="2"/>
  <c r="D126" i="2"/>
  <c r="D127" i="2" s="1"/>
  <c r="F127" i="2"/>
  <c r="G127" i="2"/>
  <c r="C129" i="2"/>
  <c r="E129" i="2"/>
  <c r="D133" i="2"/>
  <c r="D143" i="2" s="1"/>
  <c r="F133" i="2"/>
  <c r="K418" i="1"/>
  <c r="K426" i="1"/>
  <c r="K432" i="1"/>
  <c r="L262" i="1"/>
  <c r="C134" i="2"/>
  <c r="E134" i="2"/>
  <c r="L263" i="1"/>
  <c r="C135" i="2" s="1"/>
  <c r="L264" i="1"/>
  <c r="C136" i="2" s="1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G162" i="2" s="1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G617" i="1" s="1"/>
  <c r="J617" i="1" s="1"/>
  <c r="H19" i="1"/>
  <c r="I19" i="1"/>
  <c r="G619" i="1" s="1"/>
  <c r="J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L336" i="1" s="1"/>
  <c r="G336" i="1"/>
  <c r="H336" i="1"/>
  <c r="I336" i="1"/>
  <c r="J336" i="1"/>
  <c r="J337" i="1" s="1"/>
  <c r="J351" i="1" s="1"/>
  <c r="K336" i="1"/>
  <c r="K337" i="1"/>
  <c r="K351" i="1" s="1"/>
  <c r="F361" i="1"/>
  <c r="G361" i="1"/>
  <c r="H361" i="1"/>
  <c r="I361" i="1"/>
  <c r="G633" i="1" s="1"/>
  <c r="J361" i="1"/>
  <c r="K361" i="1"/>
  <c r="I367" i="1"/>
  <c r="G368" i="1"/>
  <c r="H368" i="1"/>
  <c r="I368" i="1"/>
  <c r="H633" i="1" s="1"/>
  <c r="J633" i="1" s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407" i="1"/>
  <c r="H643" i="1" s="1"/>
  <c r="I407" i="1"/>
  <c r="L412" i="1"/>
  <c r="L418" i="1" s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6" i="1" s="1"/>
  <c r="L422" i="1"/>
  <c r="L423" i="1"/>
  <c r="L424" i="1"/>
  <c r="L425" i="1"/>
  <c r="F426" i="1"/>
  <c r="G426" i="1"/>
  <c r="H426" i="1"/>
  <c r="I426" i="1"/>
  <c r="I433" i="1" s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J639" i="1" s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J475" i="1" s="1"/>
  <c r="H625" i="1" s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H523" i="1"/>
  <c r="J523" i="1"/>
  <c r="K523" i="1"/>
  <c r="L523" i="1"/>
  <c r="F528" i="1"/>
  <c r="G528" i="1"/>
  <c r="H528" i="1"/>
  <c r="I528" i="1"/>
  <c r="J528" i="1"/>
  <c r="K528" i="1"/>
  <c r="K544" i="1" s="1"/>
  <c r="F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1" i="1"/>
  <c r="K597" i="1" s="1"/>
  <c r="G646" i="1" s="1"/>
  <c r="J646" i="1" s="1"/>
  <c r="K592" i="1"/>
  <c r="K593" i="1"/>
  <c r="K595" i="1"/>
  <c r="K596" i="1"/>
  <c r="H597" i="1"/>
  <c r="H648" i="1" s="1"/>
  <c r="I597" i="1"/>
  <c r="H649" i="1" s="1"/>
  <c r="K601" i="1"/>
  <c r="K602" i="1"/>
  <c r="H604" i="1"/>
  <c r="I604" i="1"/>
  <c r="J604" i="1"/>
  <c r="H613" i="1"/>
  <c r="J613" i="1"/>
  <c r="K613" i="1"/>
  <c r="G616" i="1"/>
  <c r="G618" i="1"/>
  <c r="G621" i="1"/>
  <c r="G622" i="1"/>
  <c r="G623" i="1"/>
  <c r="J623" i="1" s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8" i="1"/>
  <c r="G640" i="1"/>
  <c r="H640" i="1"/>
  <c r="G641" i="1"/>
  <c r="J641" i="1" s="1"/>
  <c r="G642" i="1"/>
  <c r="G643" i="1"/>
  <c r="J643" i="1" s="1"/>
  <c r="H644" i="1"/>
  <c r="H646" i="1"/>
  <c r="G649" i="1"/>
  <c r="J649" i="1" s="1"/>
  <c r="G651" i="1"/>
  <c r="H651" i="1"/>
  <c r="G652" i="1"/>
  <c r="H652" i="1"/>
  <c r="G653" i="1"/>
  <c r="H653" i="1"/>
  <c r="H654" i="1"/>
  <c r="L255" i="1"/>
  <c r="F31" i="2"/>
  <c r="L327" i="1"/>
  <c r="I661" i="1"/>
  <c r="D12" i="13"/>
  <c r="C12" i="13" s="1"/>
  <c r="D61" i="2"/>
  <c r="E49" i="2"/>
  <c r="D15" i="13"/>
  <c r="C15" i="13" s="1"/>
  <c r="F102" i="2"/>
  <c r="C17" i="13"/>
  <c r="C90" i="2"/>
  <c r="F77" i="2"/>
  <c r="F80" i="2" s="1"/>
  <c r="D31" i="2"/>
  <c r="D50" i="2" s="1"/>
  <c r="D49" i="2"/>
  <c r="F49" i="2"/>
  <c r="F50" i="2" s="1"/>
  <c r="G160" i="2"/>
  <c r="G155" i="2"/>
  <c r="G102" i="2"/>
  <c r="E102" i="2"/>
  <c r="C102" i="2"/>
  <c r="D90" i="2"/>
  <c r="F90" i="2"/>
  <c r="C61" i="2"/>
  <c r="C62" i="2"/>
  <c r="E31" i="2"/>
  <c r="C31" i="2"/>
  <c r="G61" i="2"/>
  <c r="D29" i="13"/>
  <c r="C29" i="13" s="1"/>
  <c r="D19" i="13"/>
  <c r="C19" i="13" s="1"/>
  <c r="D14" i="13"/>
  <c r="C14" i="13" s="1"/>
  <c r="E77" i="2"/>
  <c r="E80" i="2" s="1"/>
  <c r="J256" i="1"/>
  <c r="J270" i="1" s="1"/>
  <c r="H111" i="1"/>
  <c r="H192" i="1" s="1"/>
  <c r="G628" i="1" s="1"/>
  <c r="J628" i="1" s="1"/>
  <c r="F111" i="1"/>
  <c r="J640" i="1"/>
  <c r="J638" i="1"/>
  <c r="K604" i="1"/>
  <c r="G647" i="1" s="1"/>
  <c r="J570" i="1"/>
  <c r="K570" i="1"/>
  <c r="L432" i="1"/>
  <c r="I168" i="1"/>
  <c r="E50" i="2"/>
  <c r="J642" i="1"/>
  <c r="H475" i="1"/>
  <c r="H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J139" i="1"/>
  <c r="F570" i="1"/>
  <c r="H256" i="1"/>
  <c r="H270" i="1" s="1"/>
  <c r="G22" i="2"/>
  <c r="C29" i="10"/>
  <c r="L400" i="1"/>
  <c r="C138" i="2" s="1"/>
  <c r="L392" i="1"/>
  <c r="C137" i="2" s="1"/>
  <c r="F22" i="13"/>
  <c r="C22" i="13" s="1"/>
  <c r="H25" i="13"/>
  <c r="C25" i="13" s="1"/>
  <c r="H570" i="1"/>
  <c r="L559" i="1"/>
  <c r="J544" i="1"/>
  <c r="G191" i="1"/>
  <c r="H191" i="1"/>
  <c r="C35" i="10"/>
  <c r="C49" i="2"/>
  <c r="C50" i="2" s="1"/>
  <c r="J654" i="1"/>
  <c r="L569" i="1"/>
  <c r="I570" i="1"/>
  <c r="G36" i="2"/>
  <c r="G49" i="2" s="1"/>
  <c r="L564" i="1"/>
  <c r="L570" i="1" s="1"/>
  <c r="H544" i="1"/>
  <c r="C24" i="10"/>
  <c r="G31" i="13"/>
  <c r="L406" i="1"/>
  <c r="C139" i="2" s="1"/>
  <c r="I191" i="1"/>
  <c r="E90" i="2"/>
  <c r="L407" i="1"/>
  <c r="G636" i="1" s="1"/>
  <c r="J636" i="1" s="1"/>
  <c r="J653" i="1"/>
  <c r="J652" i="1"/>
  <c r="G21" i="2"/>
  <c r="G31" i="2" s="1"/>
  <c r="J32" i="1"/>
  <c r="J433" i="1"/>
  <c r="K433" i="1"/>
  <c r="G133" i="2" s="1"/>
  <c r="G143" i="2" s="1"/>
  <c r="G144" i="2" s="1"/>
  <c r="F31" i="13"/>
  <c r="J192" i="1"/>
  <c r="G645" i="1" s="1"/>
  <c r="G139" i="1"/>
  <c r="G62" i="2"/>
  <c r="G103" i="2"/>
  <c r="G42" i="2"/>
  <c r="J50" i="1"/>
  <c r="G625" i="1" s="1"/>
  <c r="G16" i="2"/>
  <c r="G18" i="2"/>
  <c r="H433" i="1"/>
  <c r="D102" i="2"/>
  <c r="J651" i="1"/>
  <c r="G570" i="1"/>
  <c r="G433" i="1"/>
  <c r="I256" i="1"/>
  <c r="I270" i="1" s="1"/>
  <c r="F660" i="1"/>
  <c r="L246" i="1"/>
  <c r="H659" i="1" s="1"/>
  <c r="G256" i="1"/>
  <c r="G270" i="1" s="1"/>
  <c r="D5" i="13"/>
  <c r="C5" i="13" s="1"/>
  <c r="H660" i="1"/>
  <c r="D80" i="2"/>
  <c r="H337" i="1"/>
  <c r="H351" i="1" s="1"/>
  <c r="C111" i="2"/>
  <c r="H33" i="13"/>
  <c r="K256" i="1"/>
  <c r="L308" i="1"/>
  <c r="E108" i="2"/>
  <c r="L228" i="1"/>
  <c r="C108" i="2"/>
  <c r="I544" i="1"/>
  <c r="J551" i="1"/>
  <c r="F551" i="1"/>
  <c r="L433" i="1" l="1"/>
  <c r="G637" i="1" s="1"/>
  <c r="J637" i="1" s="1"/>
  <c r="C140" i="2"/>
  <c r="J616" i="1"/>
  <c r="C39" i="10"/>
  <c r="C38" i="10"/>
  <c r="G50" i="2"/>
  <c r="F191" i="1"/>
  <c r="F192" i="1" s="1"/>
  <c r="G626" i="1" s="1"/>
  <c r="J626" i="1" s="1"/>
  <c r="G163" i="2"/>
  <c r="G161" i="2"/>
  <c r="G158" i="2"/>
  <c r="G156" i="2"/>
  <c r="C18" i="2"/>
  <c r="I548" i="1"/>
  <c r="L538" i="1"/>
  <c r="G548" i="1"/>
  <c r="L528" i="1"/>
  <c r="F129" i="2"/>
  <c r="F143" i="2" s="1"/>
  <c r="F144" i="2" s="1"/>
  <c r="C141" i="2"/>
  <c r="C26" i="10"/>
  <c r="C23" i="10"/>
  <c r="E112" i="2"/>
  <c r="C118" i="2"/>
  <c r="D7" i="13"/>
  <c r="C7" i="13" s="1"/>
  <c r="D6" i="13"/>
  <c r="C6" i="13" s="1"/>
  <c r="C117" i="2"/>
  <c r="C110" i="2"/>
  <c r="C114" i="2" s="1"/>
  <c r="C17" i="10"/>
  <c r="C119" i="2"/>
  <c r="E8" i="13"/>
  <c r="C21" i="12"/>
  <c r="C30" i="12"/>
  <c r="B31" i="12"/>
  <c r="A31" i="12" s="1"/>
  <c r="L256" i="1"/>
  <c r="L270" i="1" s="1"/>
  <c r="G631" i="1" s="1"/>
  <c r="J631" i="1" s="1"/>
  <c r="F337" i="1"/>
  <c r="F351" i="1" s="1"/>
  <c r="K270" i="1"/>
  <c r="C16" i="10"/>
  <c r="H647" i="1"/>
  <c r="J647" i="1" s="1"/>
  <c r="C18" i="10"/>
  <c r="G630" i="1"/>
  <c r="J630" i="1" s="1"/>
  <c r="J19" i="1"/>
  <c r="G620" i="1" s="1"/>
  <c r="F33" i="13"/>
  <c r="E16" i="13"/>
  <c r="C16" i="13" s="1"/>
  <c r="E13" i="13"/>
  <c r="C13" i="13" s="1"/>
  <c r="G644" i="1"/>
  <c r="J644" i="1" s="1"/>
  <c r="J618" i="1"/>
  <c r="L543" i="1"/>
  <c r="I337" i="1"/>
  <c r="I351" i="1" s="1"/>
  <c r="D144" i="2"/>
  <c r="C121" i="2"/>
  <c r="C77" i="2"/>
  <c r="C80" i="2" s="1"/>
  <c r="C103" i="2" s="1"/>
  <c r="C69" i="2"/>
  <c r="F62" i="2"/>
  <c r="F103" i="2" s="1"/>
  <c r="G111" i="1"/>
  <c r="C28" i="12"/>
  <c r="C31" i="12" s="1"/>
  <c r="L350" i="1"/>
  <c r="C25" i="10"/>
  <c r="E113" i="2"/>
  <c r="E119" i="2"/>
  <c r="E123" i="2"/>
  <c r="E121" i="2"/>
  <c r="L289" i="1"/>
  <c r="D31" i="13" s="1"/>
  <c r="C31" i="13" s="1"/>
  <c r="L361" i="1"/>
  <c r="G660" i="1"/>
  <c r="I660" i="1" s="1"/>
  <c r="J648" i="1"/>
  <c r="L530" i="1"/>
  <c r="G533" i="1"/>
  <c r="G544" i="1" s="1"/>
  <c r="G611" i="1"/>
  <c r="L611" i="1" s="1"/>
  <c r="G662" i="1" s="1"/>
  <c r="F613" i="1"/>
  <c r="J597" i="1"/>
  <c r="H650" i="1" s="1"/>
  <c r="J650" i="1" s="1"/>
  <c r="C11" i="12"/>
  <c r="C10" i="12" s="1"/>
  <c r="C13" i="12" s="1"/>
  <c r="A13" i="12" s="1"/>
  <c r="B13" i="12"/>
  <c r="L381" i="1"/>
  <c r="G635" i="1" s="1"/>
  <c r="J635" i="1" s="1"/>
  <c r="I111" i="1"/>
  <c r="I192" i="1" s="1"/>
  <c r="G629" i="1" s="1"/>
  <c r="J629" i="1" s="1"/>
  <c r="C19" i="12"/>
  <c r="C22" i="12" s="1"/>
  <c r="L612" i="1"/>
  <c r="H662" i="1" s="1"/>
  <c r="H663" i="1" s="1"/>
  <c r="J625" i="1"/>
  <c r="I551" i="1"/>
  <c r="D33" i="13"/>
  <c r="D36" i="13" s="1"/>
  <c r="G659" i="1"/>
  <c r="J51" i="1"/>
  <c r="H620" i="1" s="1"/>
  <c r="J620" i="1" s="1"/>
  <c r="H645" i="1"/>
  <c r="J645" i="1" s="1"/>
  <c r="A22" i="12"/>
  <c r="L610" i="1"/>
  <c r="G613" i="1"/>
  <c r="H666" i="1" l="1"/>
  <c r="H671" i="1"/>
  <c r="C6" i="10" s="1"/>
  <c r="C143" i="2"/>
  <c r="F659" i="1"/>
  <c r="H548" i="1"/>
  <c r="H551" i="1" s="1"/>
  <c r="L533" i="1"/>
  <c r="L544" i="1" s="1"/>
  <c r="C27" i="10"/>
  <c r="G634" i="1"/>
  <c r="J634" i="1" s="1"/>
  <c r="E127" i="2"/>
  <c r="G192" i="1"/>
  <c r="G627" i="1" s="1"/>
  <c r="J627" i="1" s="1"/>
  <c r="C36" i="10"/>
  <c r="C8" i="13"/>
  <c r="E33" i="13"/>
  <c r="D35" i="13" s="1"/>
  <c r="C127" i="2"/>
  <c r="C144" i="2" s="1"/>
  <c r="E114" i="2"/>
  <c r="E144" i="2" s="1"/>
  <c r="G551" i="1"/>
  <c r="K548" i="1"/>
  <c r="K551" i="1" s="1"/>
  <c r="L337" i="1"/>
  <c r="L351" i="1" s="1"/>
  <c r="G632" i="1" s="1"/>
  <c r="J632" i="1" s="1"/>
  <c r="H655" i="1"/>
  <c r="F662" i="1"/>
  <c r="L613" i="1"/>
  <c r="I659" i="1"/>
  <c r="G663" i="1"/>
  <c r="C41" i="10" l="1"/>
  <c r="D36" i="10" s="1"/>
  <c r="C28" i="10"/>
  <c r="D27" i="10" s="1"/>
  <c r="G671" i="1"/>
  <c r="C5" i="10" s="1"/>
  <c r="G666" i="1"/>
  <c r="F663" i="1"/>
  <c r="I662" i="1"/>
  <c r="I663" i="1" s="1"/>
  <c r="D20" i="10" l="1"/>
  <c r="D24" i="10"/>
  <c r="D15" i="10"/>
  <c r="D10" i="10"/>
  <c r="D21" i="10"/>
  <c r="D13" i="10"/>
  <c r="D26" i="10"/>
  <c r="D16" i="10"/>
  <c r="D12" i="10"/>
  <c r="D25" i="10"/>
  <c r="D19" i="10"/>
  <c r="D22" i="10"/>
  <c r="C30" i="10"/>
  <c r="D11" i="10"/>
  <c r="D17" i="10"/>
  <c r="D18" i="10"/>
  <c r="D23" i="10"/>
  <c r="D40" i="10"/>
  <c r="D39" i="10"/>
  <c r="D35" i="10"/>
  <c r="D37" i="10"/>
  <c r="D38" i="10"/>
  <c r="I671" i="1"/>
  <c r="C7" i="10" s="1"/>
  <c r="I666" i="1"/>
  <c r="F666" i="1"/>
  <c r="F671" i="1"/>
  <c r="C4" i="10" s="1"/>
  <c r="D41" i="10" l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<sst xmlns="http://schemas.openxmlformats.org/spreadsheetml/2006/main" count="3944" uniqueCount="910">
  <si>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</si>
  <si>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</si>
  <si>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</si>
  <si>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</si>
  <si>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</si>
  <si>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</si>
  <si>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</si>
  <si>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</si>
  <si>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</si>
  <si>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</si>
  <si>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</si>
  <si>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</si>
  <si>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</si>
  <si>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</si>
  <si>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</si>
  <si>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</si>
  <si>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</si>
  <si>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</si>
  <si>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</si>
  <si>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</si>
  <si>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</si>
  <si>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</si>
  <si>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</si>
  <si>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</si>
  <si>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</si>
  <si>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</si>
  <si>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</si>
  <si>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</si>
  <si>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</si>
  <si>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</si>
  <si>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</si>
  <si>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</si>
  <si>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</si>
  <si>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</si>
  <si>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</si>
  <si>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</si>
  <si>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</si>
  <si>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</si>
  <si>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</si>
  <si>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</si>
  <si>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</si>
  <si>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</si>
  <si>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</si>
  <si>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</si>
  <si>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</si>
  <si>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</si>
  <si>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</si>
  <si>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</si>
  <si>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</si>
  <si>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</si>
  <si>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</si>
  <si>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</si>
  <si>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</si>
  <si>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</si>
  <si>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</si>
  <si>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</si>
  <si>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</si>
  <si>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</si>
  <si>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</si>
  <si>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</si>
  <si>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</si>
  <si>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</si>
  <si>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</si>
  <si>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</si>
  <si>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</si>
  <si>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</si>
  <si>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</si>
  <si>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</si>
  <si>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</si>
  <si>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</si>
  <si>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</si>
  <si>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</si>
  <si>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</si>
  <si>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</si>
  <si>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</si>
  <si>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</si>
  <si>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</si>
  <si>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</si>
  <si>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</si>
  <si>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</si>
  <si>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</si>
  <si>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</si>
  <si>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</si>
  <si>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</si>
  <si>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</si>
  <si>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</si>
  <si>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</si>
  <si>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</si>
  <si>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</si>
  <si>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</si>
  <si>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</si>
  <si>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</si>
  <si>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</si>
  <si>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</si>
  <si>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</si>
  <si>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</si>
  <si>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</si>
  <si>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</si>
  <si>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</si>
  <si>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</si>
  <si>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</si>
  <si>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</si>
  <si>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</si>
  <si>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</si>
  <si>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</si>
  <si>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</si>
  <si>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</si>
  <si>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</si>
  <si>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</si>
  <si>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</si>
  <si>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</si>
  <si>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</si>
  <si>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</si>
  <si>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</si>
  <si>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</si>
  <si>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</si>
  <si>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</si>
  <si>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</si>
  <si>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</si>
  <si>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</si>
  <si>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</si>
  <si>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</si>
  <si>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</si>
  <si>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</si>
  <si>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</si>
  <si>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</si>
  <si>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</si>
  <si>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</si>
  <si>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</si>
  <si>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</si>
  <si>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</si>
  <si>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</si>
  <si>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</si>
  <si>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</si>
  <si>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</si>
  <si>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</si>
  <si>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</si>
  <si>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</si>
  <si>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</si>
  <si>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</si>
  <si>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</si>
  <si>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</si>
  <si>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</si>
  <si>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</si>
  <si>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</si>
  <si>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</si>
  <si>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</si>
  <si>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</si>
  <si>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</si>
  <si>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</si>
  <si>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</si>
  <si>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</si>
  <si>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</si>
  <si>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</si>
  <si>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</si>
  <si>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</si>
  <si>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</si>
  <si>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</si>
  <si>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</si>
  <si>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</si>
  <si>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</si>
  <si>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</si>
  <si>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</si>
  <si>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</si>
  <si>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</si>
  <si>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</si>
  <si>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</si>
  <si>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</si>
  <si>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</si>
  <si>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</si>
  <si>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</si>
  <si>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</si>
  <si>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</si>
  <si>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</si>
  <si>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</si>
  <si>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</si>
  <si>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</si>
  <si>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</si>
  <si>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</si>
  <si>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</si>
  <si>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</si>
  <si>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</si>
  <si>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</si>
  <si>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</si>
  <si>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</si>
  <si>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</si>
  <si>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</si>
  <si>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</si>
  <si>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</si>
  <si>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</si>
  <si>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</si>
  <si>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</si>
  <si>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</si>
  <si>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</si>
  <si>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</si>
  <si>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</si>
  <si>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</si>
  <si>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</si>
  <si>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</si>
  <si>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</si>
  <si>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</si>
  <si>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</si>
  <si>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</si>
  <si>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</si>
  <si>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</si>
  <si>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</si>
  <si>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</si>
  <si>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</si>
  <si>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</si>
  <si>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</si>
  <si>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</si>
  <si>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</si>
  <si>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</si>
  <si>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</si>
  <si>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</si>
  <si>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</si>
  <si>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</si>
  <si>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</si>
  <si>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</si>
  <si>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</si>
  <si>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</si>
  <si>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</si>
  <si>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</si>
  <si>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</si>
  <si>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</si>
  <si>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</si>
  <si>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</si>
  <si>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</si>
  <si>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</si>
  <si>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</si>
  <si>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</si>
  <si>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</si>
  <si>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</si>
  <si>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</si>
  <si>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</si>
  <si>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</si>
  <si>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</si>
  <si>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</si>
  <si>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</si>
  <si>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</si>
  <si>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</si>
  <si>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</si>
  <si>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</si>
  <si>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</si>
  <si>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</si>
  <si>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</si>
  <si>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</si>
  <si>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</si>
  <si>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</si>
  <si>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</si>
  <si>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</si>
  <si>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</si>
  <si>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</si>
  <si>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</si>
  <si>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</si>
  <si>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</si>
  <si>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</si>
  <si>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</si>
  <si>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</si>
  <si>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</si>
  <si>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</si>
  <si>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</si>
  <si>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</si>
  <si>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</si>
  <si>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</si>
  <si>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</si>
  <si>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</si>
  <si>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</si>
  <si>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</si>
  <si>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</si>
  <si>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</si>
  <si>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</si>
  <si>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</si>
  <si>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</si>
  <si>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</si>
  <si>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</si>
  <si>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</si>
  <si>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</si>
  <si>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</si>
  <si>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</si>
  <si>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</si>
  <si>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</si>
  <si>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</si>
  <si>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</si>
  <si>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</si>
  <si>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</si>
  <si>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</si>
  <si>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</si>
  <si>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</si>
  <si>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</si>
  <si>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</si>
  <si>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</si>
  <si>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</si>
  <si>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</si>
  <si>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</si>
  <si>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</si>
  <si>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</si>
  <si>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</si>
  <si>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</si>
  <si>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</si>
  <si>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</si>
  <si>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</si>
  <si>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</si>
  <si>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</si>
  <si>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</si>
  <si>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</si>
  <si>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</si>
  <si>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</si>
  <si>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</si>
  <si>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</si>
  <si>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</si>
  <si>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</si>
  <si>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</si>
  <si>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</si>
  <si>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</si>
  <si>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</si>
  <si>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</si>
  <si>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</si>
  <si>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</si>
  <si>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</si>
  <si>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</si>
  <si>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</si>
  <si>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</si>
  <si>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</si>
  <si>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</si>
  <si>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</si>
  <si>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</si>
  <si>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</si>
  <si>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</si>
  <si>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</si>
  <si>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</si>
  <si>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</si>
  <si>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</si>
  <si>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</si>
  <si>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</si>
  <si>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</si>
  <si>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</si>
  <si>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</si>
  <si>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</si>
  <si>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</si>
  <si>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</si>
  <si>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</si>
  <si>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</si>
  <si>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</si>
  <si>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</si>
  <si>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</si>
  <si>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</si>
  <si>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</si>
  <si>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</si>
  <si>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</si>
  <si>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</si>
  <si>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</si>
  <si>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</si>
  <si>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</si>
  <si>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</si>
  <si>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</si>
  <si>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</si>
  <si>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</si>
  <si>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</si>
  <si>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</si>
  <si>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</si>
  <si>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</si>
  <si>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</si>
  <si>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</si>
  <si>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</si>
  <si>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</si>
  <si>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</si>
  <si>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</si>
  <si>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</si>
  <si>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</si>
  <si>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</si>
  <si>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</si>
  <si>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</si>
  <si>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</si>
  <si>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</si>
  <si>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</si>
  <si>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</si>
  <si>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</si>
  <si>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</si>
  <si>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</si>
  <si>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</si>
  <si>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</si>
  <si>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</si>
  <si>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</si>
  <si>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</si>
  <si>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</si>
  <si>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</si>
  <si>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</si>
  <si>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</si>
  <si>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</si>
  <si>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</si>
  <si>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</si>
  <si>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</si>
  <si>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</si>
  <si>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</si>
  <si>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</si>
  <si>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</si>
  <si>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</si>
  <si>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</si>
  <si>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</si>
  <si>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</si>
  <si>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</si>
  <si>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</si>
  <si>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</si>
  <si>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</si>
  <si>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</si>
  <si>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</si>
  <si>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</si>
  <si>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</si>
  <si>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</si>
  <si>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</si>
  <si>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</si>
  <si>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</si>
  <si>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</si>
  <si>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</si>
  <si>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</si>
  <si>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</si>
  <si>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</si>
  <si>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</si>
  <si>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</si>
  <si>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</si>
  <si>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</si>
  <si>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</si>
  <si>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</si>
  <si>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</si>
  <si>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</si>
  <si>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</si>
  <si>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</si>
  <si>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</si>
  <si>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</si>
  <si>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</si>
  <si>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</si>
  <si>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</si>
  <si>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</si>
  <si>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</si>
  <si>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</si>
  <si>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</si>
  <si>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</si>
  <si>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</si>
  <si>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</si>
  <si>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</si>
  <si>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</si>
  <si>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</si>
  <si>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</si>
  <si>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</si>
  <si>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</si>
  <si>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</si>
  <si>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</si>
  <si>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</si>
  <si>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</si>
  <si>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</si>
  <si>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</si>
  <si>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</si>
  <si>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</si>
  <si>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</si>
  <si>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</si>
  <si>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</si>
  <si>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</si>
  <si>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</si>
  <si>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</si>
  <si>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</si>
  <si>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</si>
  <si>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</si>
  <si>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</si>
  <si>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</si>
  <si>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</si>
  <si>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</si>
  <si>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</si>
  <si>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</si>
  <si>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</si>
  <si>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</si>
  <si>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</si>
  <si>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</si>
  <si>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</si>
  <si>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</si>
  <si>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</si>
  <si>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</si>
  <si>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</si>
  <si>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</si>
  <si>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</si>
  <si>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</si>
  <si>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</si>
  <si>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</si>
  <si>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</si>
  <si>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</si>
  <si>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</si>
  <si>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</si>
  <si>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</si>
  <si>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</si>
  <si>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</si>
  <si>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</si>
  <si>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</si>
  <si>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</si>
  <si>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</si>
  <si>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</si>
  <si>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</si>
  <si>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</si>
  <si>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</si>
  <si>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</si>
  <si>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</si>
  <si>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</si>
  <si>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</si>
  <si>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</si>
  <si>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</si>
  <si>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</si>
  <si>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</si>
  <si>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</si>
  <si>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</si>
  <si>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</si>
  <si>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</si>
  <si>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</si>
  <si>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</si>
  <si>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</si>
  <si>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</si>
  <si>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</si>
  <si>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</si>
  <si>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</si>
  <si>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</si>
  <si>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</si>
  <si>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</si>
  <si>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</si>
  <si>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</si>
  <si>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</si>
  <si>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</si>
  <si>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</si>
  <si>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</si>
  <si>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</si>
  <si>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</si>
  <si>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</si>
  <si>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</si>
  <si>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</si>
  <si>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</si>
  <si>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</si>
  <si>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</si>
  <si>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</si>
  <si>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</si>
  <si>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</si>
  <si>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</si>
  <si>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</si>
  <si>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</si>
  <si>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</si>
  <si>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</si>
  <si>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</si>
  <si>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</si>
  <si>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</si>
  <si>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</si>
  <si>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</si>
  <si>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</si>
  <si>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</si>
  <si>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</si>
  <si>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</si>
  <si>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</si>
  <si>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</si>
  <si>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</si>
  <si>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</si>
  <si>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</si>
  <si>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</si>
  <si>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</si>
  <si>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</si>
  <si>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</si>
  <si>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</si>
  <si>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</si>
  <si>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</si>
  <si>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</si>
  <si>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</si>
  <si>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</si>
  <si>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</si>
  <si>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</si>
  <si>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</si>
  <si>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</si>
  <si>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</si>
  <si>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</si>
  <si>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</si>
  <si>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</si>
  <si>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</si>
  <si>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</si>
  <si>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</si>
  <si>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</si>
  <si>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</si>
  <si>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</si>
  <si>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</si>
  <si>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</si>
  <si>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</si>
  <si>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</si>
  <si>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</si>
  <si>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</si>
  <si>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</si>
  <si>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</si>
  <si>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</si>
  <si>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</si>
  <si>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</si>
  <si>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</si>
  <si>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</si>
  <si>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</si>
  <si>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</si>
  <si>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</si>
  <si>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</si>
  <si>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</si>
  <si>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</si>
  <si>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</si>
  <si>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</si>
  <si>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</si>
  <si>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</si>
  <si>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</si>
  <si>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</si>
  <si>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</si>
  <si>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</si>
  <si>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</si>
  <si>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</si>
  <si>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</si>
  <si>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</si>
  <si>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</si>
  <si>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</si>
  <si>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</si>
  <si>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</si>
  <si>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</si>
  <si>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</si>
  <si>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</si>
  <si>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</si>
  <si>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</si>
  <si>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</si>
  <si>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</si>
  <si>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</si>
  <si>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</si>
  <si>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</si>
  <si>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</si>
  <si>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</si>
  <si>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</si>
  <si>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</si>
  <si>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</si>
  <si>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</si>
  <si>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</si>
  <si>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</si>
  <si>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</si>
  <si>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</si>
  <si>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</si>
  <si>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</si>
  <si>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</si>
  <si>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</si>
  <si>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</si>
  <si>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</si>
  <si>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</si>
  <si>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</si>
  <si>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</si>
  <si>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</si>
  <si>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</si>
  <si>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</si>
  <si>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</si>
  <si>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</si>
  <si>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</si>
  <si>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</si>
  <si>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</si>
  <si>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</si>
  <si>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</si>
  <si>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</si>
  <si>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</si>
  <si>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</si>
  <si>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</si>
  <si>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</si>
  <si>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</si>
  <si>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</si>
  <si>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</si>
  <si>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</si>
  <si>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</si>
  <si>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</si>
  <si>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</si>
  <si>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</si>
  <si>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</si>
  <si>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</si>
  <si>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</si>
  <si>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</si>
  <si>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</si>
  <si>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</si>
  <si>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</si>
  <si>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</si>
  <si>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</si>
  <si>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</si>
  <si>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</si>
  <si>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</si>
  <si>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</si>
  <si>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</si>
  <si>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</si>
  <si>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</si>
  <si>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</si>
  <si>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</si>
  <si>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</si>
  <si>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</si>
  <si>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</si>
  <si>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</si>
  <si>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</si>
  <si>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</si>
  <si>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</si>
  <si>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</si>
  <si>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</si>
  <si>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</si>
  <si>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</si>
  <si>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</si>
  <si>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</si>
  <si>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</si>
  <si>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</si>
  <si>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</si>
  <si>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</si>
  <si>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</si>
  <si>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</si>
  <si>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</si>
  <si>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</si>
  <si>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</si>
  <si>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</si>
  <si>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</si>
  <si>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</si>
  <si>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</si>
  <si>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</si>
  <si>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</si>
  <si>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</si>
  <si>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</si>
  <si>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</si>
  <si>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</si>
  <si>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</si>
  <si>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</si>
  <si>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</si>
  <si>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</si>
  <si>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</si>
  <si>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</si>
  <si>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</si>
  <si>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</si>
  <si>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</si>
  <si>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</si>
  <si>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</si>
  <si>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</si>
  <si>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</si>
  <si>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</si>
  <si>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</si>
  <si>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</si>
  <si>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</si>
  <si>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</si>
  <si>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</si>
  <si>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</si>
  <si>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</si>
  <si>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</si>
  <si>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</si>
  <si>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</si>
  <si>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</si>
  <si>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</si>
  <si>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</si>
  <si>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</si>
  <si>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</si>
  <si>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</si>
  <si>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</si>
  <si>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</si>
  <si>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</si>
  <si>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</si>
  <si>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</si>
  <si>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</si>
  <si>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</si>
  <si>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</si>
  <si>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</si>
  <si>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</si>
  <si>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</si>
  <si>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</si>
  <si>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</si>
  <si>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</si>
  <si>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</si>
  <si>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</si>
  <si>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</si>
  <si>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</si>
  <si>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</si>
  <si>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</si>
  <si>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</si>
  <si>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</si>
  <si>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</si>
  <si>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</si>
  <si>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</si>
  <si>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</si>
  <si>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</si>
  <si>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</si>
  <si>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</si>
  <si>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</si>
  <si>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</si>
  <si>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</si>
  <si>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</si>
  <si>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</si>
  <si>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</si>
  <si>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</si>
  <si>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</si>
  <si>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</si>
  <si>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</si>
  <si>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</si>
  <si>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</si>
  <si>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</si>
  <si>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</si>
  <si>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</si>
  <si>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</si>
  <si>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</si>
  <si>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</si>
  <si>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</si>
  <si>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</si>
  <si>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</si>
  <si>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</si>
  <si>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</si>
  <si>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</si>
  <si>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</si>
  <si>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</si>
  <si>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</si>
  <si>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</si>
  <si>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</si>
  <si>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</si>
  <si>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</si>
  <si>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</si>
  <si>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</si>
  <si>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</si>
  <si>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</si>
  <si>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</si>
  <si>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</si>
  <si>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</si>
  <si>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</si>
  <si>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</si>
  <si>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</si>
  <si>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</si>
  <si>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</si>
  <si>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</si>
  <si>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</si>
  <si>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</si>
  <si>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</si>
  <si>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</si>
  <si>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</si>
  <si>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</si>
  <si>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</si>
  <si>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</si>
  <si>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</si>
  <si>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</si>
  <si>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</si>
  <si>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</si>
  <si>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</si>
  <si>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</si>
  <si>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</si>
  <si>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</si>
  <si>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</si>
  <si>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</si>
  <si>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</si>
  <si>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</si>
  <si>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</si>
  <si>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</si>
  <si>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</si>
  <si>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</si>
  <si>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</si>
  <si>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</si>
  <si>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</si>
  <si>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</si>
  <si>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</si>
  <si>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</si>
  <si>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</si>
  <si>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</si>
  <si>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</si>
  <si>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</si>
  <si>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</si>
  <si>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</si>
  <si>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</si>
  <si>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</si>
  <si>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</si>
  <si>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</si>
  <si>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</si>
  <si>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</si>
  <si>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</si>
  <si>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</si>
  <si>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</si>
  <si>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</si>
  <si>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</si>
  <si>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</si>
  <si>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</si>
  <si>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</si>
  <si>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</si>
  <si>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</si>
  <si>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</si>
  <si>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</si>
  <si>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</si>
  <si>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</si>
  <si>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</si>
  <si>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</si>
  <si>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</si>
  <si>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</si>
  <si>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</si>
  <si>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</si>
  <si>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</si>
  <si>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</si>
  <si>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</si>
  <si>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</si>
  <si>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</si>
  <si>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</si>
  <si>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</si>
  <si>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</si>
  <si>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</si>
  <si>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</si>
  <si>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</si>
  <si>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</si>
  <si>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</si>
  <si>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</si>
  <si>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</si>
  <si>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</si>
  <si>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</si>
  <si>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</si>
  <si>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</si>
  <si>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</si>
  <si>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</si>
  <si>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</si>
  <si>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</si>
  <si>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</si>
  <si>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</si>
  <si>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</si>
  <si>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</si>
  <si>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Laconia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</si>
</sst>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http://www.education.nh.gov/DOE-25/FY2011-2012/Final/TOT08.xlsx" TargetMode="External"/><Relationship Id="rId13" Type="http://schemas.openxmlformats.org/officeDocument/2006/relationships/externalLinkPath" Target="http://www.education.nh.gov/DOE-25/FY2011-2012/Final/TOT13.xlsx" TargetMode="External"/><Relationship Id="rId18" Type="http://schemas.openxmlformats.org/officeDocument/2006/relationships/externalLinkPath" Target="http://www.education.nh.gov/DOE-25/FY2011-2012/Final/TOT18.xlsx" TargetMode="External"/><Relationship Id="rId3" Type="http://schemas.openxmlformats.org/officeDocument/2006/relationships/externalLinkPath" Target="http://www.education.nh.gov/DOE-25/FY2011-2012/Final/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http://www.education.nh.gov/DOE-25/FY2011-2012/Final/TOT07.xlsx" TargetMode="External"/><Relationship Id="rId12" Type="http://schemas.openxmlformats.org/officeDocument/2006/relationships/externalLinkPath" Target="http://www.education.nh.gov/DOE-25/FY2011-2012/Final/TOT12.xlsx" TargetMode="External"/><Relationship Id="rId17" Type="http://schemas.openxmlformats.org/officeDocument/2006/relationships/externalLinkPath" Target="http://www.education.nh.gov/DOE-25/FY2011-2012/Final/TOT17.xlsx" TargetMode="External"/><Relationship Id="rId2" Type="http://schemas.openxmlformats.org/officeDocument/2006/relationships/externalLinkPath" Target="http://www.education.nh.gov/DOE-25/FY2011-2012/Final/TOT02.xlsx" TargetMode="External"/><Relationship Id="rId16" Type="http://schemas.openxmlformats.org/officeDocument/2006/relationships/externalLinkPath" Target="http://www.education.nh.gov/DOE-25/FY2011-2012/Final/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http://www.education.nh.gov/DOE-25/FY2011-2012/Final/TOT01.xlsx" TargetMode="External"/><Relationship Id="rId6" Type="http://schemas.openxmlformats.org/officeDocument/2006/relationships/externalLinkPath" Target="http://www.education.nh.gov/DOE-25/FY2011-2012/Final/TOT06.xlsx" TargetMode="External"/><Relationship Id="rId11" Type="http://schemas.openxmlformats.org/officeDocument/2006/relationships/externalLinkPath" Target="http://www.education.nh.gov/DOE-25/FY2011-2012/Final/TOT11.xlsx" TargetMode="External"/><Relationship Id="rId5" Type="http://schemas.openxmlformats.org/officeDocument/2006/relationships/externalLinkPath" Target="http://www.education.nh.gov/DOE-25/FY2011-2012/Final/TOT05.xlsx" TargetMode="External"/><Relationship Id="rId15" Type="http://schemas.openxmlformats.org/officeDocument/2006/relationships/externalLinkPath" Target="http://www.education.nh.gov/DOE-25/FY2011-2012/Final/TOT15.xlsx" TargetMode="External"/><Relationship Id="rId10" Type="http://schemas.openxmlformats.org/officeDocument/2006/relationships/externalLinkPath" Target="http://www.education.nh.gov/DOE-25/FY2011-2012/Final/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http://www.education.nh.gov/DOE-25/FY2011-2012/Final/TOT04.xlsx" TargetMode="External"/><Relationship Id="rId9" Type="http://schemas.openxmlformats.org/officeDocument/2006/relationships/externalLinkPath" Target="http://www.education.nh.gov/DOE-25/FY2011-2012/Final/TOT09.xlsx" TargetMode="External"/><Relationship Id="rId14" Type="http://schemas.openxmlformats.org/officeDocument/2006/relationships/externalLinkPath" Target="http://www.education.nh.gov/DOE-25/FY2011-2012/Final/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285</v>
      </c>
      <c r="C2" s="21">
        <v>285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200</v>
      </c>
      <c r="G9" s="18">
        <v>1850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509361.77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255779.02</v>
      </c>
      <c r="G13" s="18">
        <v>141182.64000000001</v>
      </c>
      <c r="H13" s="18">
        <v>777641.53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30055.75</v>
      </c>
      <c r="G14" s="18">
        <v>1272.73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30942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47075.98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10550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853022.52</v>
      </c>
      <c r="G19" s="41">
        <f>SUM(G9:G18)</f>
        <v>175247.37000000002</v>
      </c>
      <c r="H19" s="41">
        <f>SUM(H9:H18)</f>
        <v>777641.53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-831475.41</v>
      </c>
      <c r="G22" s="18">
        <v>151877.75</v>
      </c>
      <c r="H22" s="18">
        <v>679597.66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1350543.4</v>
      </c>
      <c r="G24" s="18">
        <v>9144.69</v>
      </c>
      <c r="H24" s="18">
        <v>49557.09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53827.85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214.9</v>
      </c>
      <c r="G30" s="18">
        <v>4636.47</v>
      </c>
      <c r="H30" s="18">
        <v>48486.78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279911.78000000003</v>
      </c>
      <c r="G31" s="18">
        <v>9588.4599999999991</v>
      </c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853022.5199999999</v>
      </c>
      <c r="G32" s="41">
        <f>SUM(G22:G31)</f>
        <v>175247.37</v>
      </c>
      <c r="H32" s="41">
        <f>SUM(H22:H31)</f>
        <v>777641.53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853022.5199999999</v>
      </c>
      <c r="G51" s="41">
        <f>G50+G32</f>
        <v>175247.37</v>
      </c>
      <c r="H51" s="41">
        <f>H50+H32</f>
        <v>777641.53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16262495.35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16262495.35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>
        <v>163047.01999999999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3320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86252.04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3691.03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312767.46000000002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25000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431030.53</v>
      </c>
      <c r="G78" s="45" t="s">
        <v>289</v>
      </c>
      <c r="H78" s="41">
        <f>SUM(H62:H77)</f>
        <v>163047.01999999999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390278.65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4001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14335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>
        <v>1713.53</v>
      </c>
      <c r="H101" s="18">
        <v>87674.62</v>
      </c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6055.57</v>
      </c>
      <c r="G109" s="18"/>
      <c r="H109" s="18">
        <v>81622.75</v>
      </c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24391.57</v>
      </c>
      <c r="G110" s="41">
        <f>SUM(G95:G109)</f>
        <v>391992.18000000005</v>
      </c>
      <c r="H110" s="41">
        <f>SUM(H95:H109)</f>
        <v>169297.37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16717917.449999999</v>
      </c>
      <c r="G111" s="41">
        <f>G59+G110</f>
        <v>391992.18000000005</v>
      </c>
      <c r="H111" s="41">
        <f>H59+H78+H93+H110</f>
        <v>332344.39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6460883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4746462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>
        <v>25604.89</v>
      </c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11207345</v>
      </c>
      <c r="G120" s="41">
        <f>SUM(G116:G119)</f>
        <v>25604.89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703483.36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44156.23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906594.34</v>
      </c>
      <c r="G126" s="24" t="s">
        <v>289</v>
      </c>
      <c r="H126" s="18">
        <v>51802.559999999998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36178.89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1654233.93</v>
      </c>
      <c r="G135" s="41">
        <f>SUM(G122:G134)</f>
        <v>36178.89</v>
      </c>
      <c r="H135" s="41">
        <f>SUM(H122:H134)</f>
        <v>51802.559999999998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12861578.93</v>
      </c>
      <c r="G139" s="41">
        <f>G120+SUM(G135:G136)</f>
        <v>61783.78</v>
      </c>
      <c r="H139" s="41">
        <f>H120+SUM(H135:H138)</f>
        <v>51802.559999999998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v>622600.51</v>
      </c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1054736.32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717061.96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213565.94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239786.89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690950.03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442396.05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84276.27</v>
      </c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442396.05</v>
      </c>
      <c r="G161" s="41">
        <f>SUM(G149:G160)</f>
        <v>690950.03</v>
      </c>
      <c r="H161" s="41">
        <f>SUM(H149:H160)</f>
        <v>2932027.89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442396.05</v>
      </c>
      <c r="G168" s="41">
        <f>G146+G161+SUM(G162:G167)</f>
        <v>690950.03</v>
      </c>
      <c r="H168" s="41">
        <f>H146+H161+SUM(H162:H167)</f>
        <v>2932027.89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>
        <v>150000</v>
      </c>
      <c r="I178" s="18"/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150000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>
        <v>1153.29</v>
      </c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1153.29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151153.29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30021892.43</v>
      </c>
      <c r="G192" s="47">
        <f>G111+G139+G168+G191</f>
        <v>1144725.9900000002</v>
      </c>
      <c r="H192" s="47">
        <f>H111+H139+H168+H191</f>
        <v>3467328.1300000004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2873225.19-0.02</f>
        <v>2873225.17</v>
      </c>
      <c r="G196" s="18">
        <v>1553447.62</v>
      </c>
      <c r="H196" s="18">
        <v>46230.2</v>
      </c>
      <c r="I196" s="18">
        <v>116007.45</v>
      </c>
      <c r="J196" s="18">
        <v>9089.68</v>
      </c>
      <c r="K196" s="18"/>
      <c r="L196" s="19">
        <f>SUM(F196:K196)</f>
        <v>4598000.12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1172276.6599999999</v>
      </c>
      <c r="G197" s="18">
        <v>636060.25</v>
      </c>
      <c r="H197" s="18">
        <v>523897.62</v>
      </c>
      <c r="I197" s="18">
        <v>3884.83</v>
      </c>
      <c r="J197" s="18"/>
      <c r="K197" s="18">
        <v>749</v>
      </c>
      <c r="L197" s="19">
        <f>SUM(F197:K197)</f>
        <v>2336868.36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8542.74</v>
      </c>
      <c r="G199" s="18">
        <v>4755.45</v>
      </c>
      <c r="H199" s="18"/>
      <c r="I199" s="18">
        <v>248.66</v>
      </c>
      <c r="J199" s="18"/>
      <c r="K199" s="18"/>
      <c r="L199" s="19">
        <f>SUM(F199:K199)</f>
        <v>13546.849999999999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569652</v>
      </c>
      <c r="G201" s="18">
        <v>308311.82</v>
      </c>
      <c r="H201" s="18">
        <v>82945.78</v>
      </c>
      <c r="I201" s="18">
        <v>5252.24</v>
      </c>
      <c r="J201" s="18"/>
      <c r="K201" s="18"/>
      <c r="L201" s="19">
        <f t="shared" ref="L201:L207" si="0">SUM(F201:K201)</f>
        <v>966161.84000000008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219038.61</v>
      </c>
      <c r="G202" s="18">
        <v>152897.71</v>
      </c>
      <c r="H202" s="18">
        <v>47227.89</v>
      </c>
      <c r="I202" s="18">
        <v>35912.639999999999</v>
      </c>
      <c r="J202" s="18">
        <v>22472.14</v>
      </c>
      <c r="K202" s="18"/>
      <c r="L202" s="19">
        <f t="shared" si="0"/>
        <v>477548.99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191938.97</v>
      </c>
      <c r="G203" s="18">
        <v>109111.24</v>
      </c>
      <c r="H203" s="18">
        <v>61058.58</v>
      </c>
      <c r="I203" s="18">
        <v>3162.54</v>
      </c>
      <c r="J203" s="18"/>
      <c r="K203" s="18">
        <v>16044.49</v>
      </c>
      <c r="L203" s="19">
        <f t="shared" si="0"/>
        <v>381315.82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461401.45</v>
      </c>
      <c r="G204" s="18">
        <v>251661.22</v>
      </c>
      <c r="H204" s="18">
        <v>14331.99</v>
      </c>
      <c r="I204" s="18">
        <v>3675.92</v>
      </c>
      <c r="J204" s="18"/>
      <c r="K204" s="18">
        <v>1778</v>
      </c>
      <c r="L204" s="19">
        <f t="shared" si="0"/>
        <v>732848.58000000007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93705.13</v>
      </c>
      <c r="G205" s="18">
        <v>51604.83</v>
      </c>
      <c r="H205" s="18">
        <v>45782.31</v>
      </c>
      <c r="I205" s="18">
        <v>314.14999999999998</v>
      </c>
      <c r="J205" s="18">
        <v>660</v>
      </c>
      <c r="K205" s="18"/>
      <c r="L205" s="19">
        <f t="shared" si="0"/>
        <v>192066.42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280925.28000000003</v>
      </c>
      <c r="G206" s="18">
        <v>152174.46</v>
      </c>
      <c r="H206" s="18">
        <v>169556.37</v>
      </c>
      <c r="I206" s="18">
        <v>277302.26</v>
      </c>
      <c r="J206" s="18">
        <v>4851.57</v>
      </c>
      <c r="K206" s="18"/>
      <c r="L206" s="19">
        <f t="shared" si="0"/>
        <v>884809.94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251577.59</v>
      </c>
      <c r="I207" s="18">
        <v>7468.75</v>
      </c>
      <c r="J207" s="18"/>
      <c r="K207" s="18"/>
      <c r="L207" s="19">
        <f t="shared" si="0"/>
        <v>259046.34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5870706.0100000007</v>
      </c>
      <c r="G210" s="41">
        <f t="shared" si="1"/>
        <v>3220024.6000000006</v>
      </c>
      <c r="H210" s="41">
        <f t="shared" si="1"/>
        <v>1242608.3299999998</v>
      </c>
      <c r="I210" s="41">
        <f t="shared" si="1"/>
        <v>453229.44000000006</v>
      </c>
      <c r="J210" s="41">
        <f t="shared" si="1"/>
        <v>37073.39</v>
      </c>
      <c r="K210" s="41">
        <f t="shared" si="1"/>
        <v>18571.489999999998</v>
      </c>
      <c r="L210" s="41">
        <f t="shared" si="1"/>
        <v>10842213.26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1893330.13</v>
      </c>
      <c r="G214" s="18">
        <v>1024007.31</v>
      </c>
      <c r="H214" s="18">
        <v>38263.53</v>
      </c>
      <c r="I214" s="18">
        <v>61774.31</v>
      </c>
      <c r="J214" s="18">
        <v>14454.63</v>
      </c>
      <c r="K214" s="18"/>
      <c r="L214" s="19">
        <f>SUM(F214:K214)</f>
        <v>3031829.9099999997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703062.9</v>
      </c>
      <c r="G215" s="18">
        <v>380436.16</v>
      </c>
      <c r="H215" s="18">
        <v>253518.93</v>
      </c>
      <c r="I215" s="18">
        <v>8645.89</v>
      </c>
      <c r="J215" s="18">
        <v>189.61</v>
      </c>
      <c r="K215" s="18">
        <v>744</v>
      </c>
      <c r="L215" s="19">
        <f>SUM(F215:K215)</f>
        <v>1346597.49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47456.9</v>
      </c>
      <c r="G217" s="18">
        <v>25362.42</v>
      </c>
      <c r="H217" s="18">
        <v>8530</v>
      </c>
      <c r="I217" s="18">
        <v>7926.87</v>
      </c>
      <c r="J217" s="18"/>
      <c r="K217" s="18"/>
      <c r="L217" s="19">
        <f>SUM(F217:K217)</f>
        <v>89276.19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259002.5</v>
      </c>
      <c r="G219" s="18">
        <v>140285.82999999999</v>
      </c>
      <c r="H219" s="18">
        <v>46432.63</v>
      </c>
      <c r="I219" s="18">
        <v>3139.17</v>
      </c>
      <c r="J219" s="18"/>
      <c r="K219" s="18"/>
      <c r="L219" s="19">
        <f t="shared" ref="L219:L225" si="2">SUM(F219:K219)</f>
        <v>448860.12999999995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109605.17</v>
      </c>
      <c r="G220" s="18">
        <v>78427.149999999994</v>
      </c>
      <c r="H220" s="18">
        <v>24710.79</v>
      </c>
      <c r="I220" s="18">
        <v>27279.07</v>
      </c>
      <c r="J220" s="18">
        <f>7356.73+0.01</f>
        <v>7356.74</v>
      </c>
      <c r="K220" s="18"/>
      <c r="L220" s="19">
        <f t="shared" si="2"/>
        <v>247378.92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105638.15</v>
      </c>
      <c r="G221" s="18">
        <v>59947.54</v>
      </c>
      <c r="H221" s="18">
        <v>33150.39</v>
      </c>
      <c r="I221" s="18">
        <v>1725.03</v>
      </c>
      <c r="J221" s="18"/>
      <c r="K221" s="18">
        <v>8751.5300000000007</v>
      </c>
      <c r="L221" s="19">
        <f t="shared" si="2"/>
        <v>209212.64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243211.26</v>
      </c>
      <c r="G222" s="18">
        <v>133567.5</v>
      </c>
      <c r="H222" s="18">
        <v>22605.37</v>
      </c>
      <c r="I222" s="18">
        <v>1591.99</v>
      </c>
      <c r="J222" s="18"/>
      <c r="K222" s="18">
        <v>2214</v>
      </c>
      <c r="L222" s="19">
        <f t="shared" si="2"/>
        <v>403190.12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51111.89</v>
      </c>
      <c r="G223" s="18">
        <v>28220.14</v>
      </c>
      <c r="H223" s="18">
        <v>24972.17</v>
      </c>
      <c r="I223" s="18">
        <v>171.35</v>
      </c>
      <c r="J223" s="18">
        <v>360</v>
      </c>
      <c r="K223" s="18"/>
      <c r="L223" s="19">
        <f t="shared" si="2"/>
        <v>104835.55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172533.18</v>
      </c>
      <c r="G224" s="18">
        <v>93523.89</v>
      </c>
      <c r="H224" s="18">
        <v>82390.95</v>
      </c>
      <c r="I224" s="18">
        <v>226146.84</v>
      </c>
      <c r="J224" s="18">
        <f>3766.22+0.01</f>
        <v>3766.23</v>
      </c>
      <c r="K224" s="18"/>
      <c r="L224" s="19">
        <f t="shared" si="2"/>
        <v>578361.09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156045.1</v>
      </c>
      <c r="I225" s="18">
        <v>4073.86</v>
      </c>
      <c r="J225" s="18"/>
      <c r="K225" s="18"/>
      <c r="L225" s="19">
        <f t="shared" si="2"/>
        <v>160118.96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3584952.08</v>
      </c>
      <c r="G228" s="41">
        <f>SUM(G214:G227)</f>
        <v>1963777.9399999997</v>
      </c>
      <c r="H228" s="41">
        <f>SUM(H214:H227)</f>
        <v>690619.85999999987</v>
      </c>
      <c r="I228" s="41">
        <f>SUM(I214:I227)</f>
        <v>342474.38</v>
      </c>
      <c r="J228" s="41">
        <f>SUM(J214:J227)</f>
        <v>26127.21</v>
      </c>
      <c r="K228" s="41">
        <f t="shared" si="3"/>
        <v>11709.53</v>
      </c>
      <c r="L228" s="41">
        <f t="shared" si="3"/>
        <v>6619660.9999999991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2125435.75</v>
      </c>
      <c r="G232" s="18">
        <v>1149234.22</v>
      </c>
      <c r="H232" s="18">
        <v>50874.84</v>
      </c>
      <c r="I232" s="18">
        <v>116359.81</v>
      </c>
      <c r="J232" s="18">
        <v>20640.330000000002</v>
      </c>
      <c r="K232" s="18"/>
      <c r="L232" s="19">
        <f>SUM(F232:K232)</f>
        <v>3462544.9499999997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692943.5</v>
      </c>
      <c r="G233" s="18">
        <v>376888.14</v>
      </c>
      <c r="H233" s="18">
        <v>413233.55</v>
      </c>
      <c r="I233" s="18">
        <v>1269.69</v>
      </c>
      <c r="J233" s="18">
        <v>1398.45</v>
      </c>
      <c r="K233" s="18">
        <v>719</v>
      </c>
      <c r="L233" s="19">
        <f>SUM(F233:K233)</f>
        <v>1486452.33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902616.11</v>
      </c>
      <c r="G234" s="18">
        <v>490226.41</v>
      </c>
      <c r="H234" s="18">
        <v>18055.189999999999</v>
      </c>
      <c r="I234" s="18">
        <v>36998.46</v>
      </c>
      <c r="J234" s="18">
        <v>841.65</v>
      </c>
      <c r="K234" s="18">
        <v>200</v>
      </c>
      <c r="L234" s="19">
        <f>SUM(F234:K234)</f>
        <v>1448937.8199999998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152912.9</v>
      </c>
      <c r="G235" s="18">
        <v>82427.83</v>
      </c>
      <c r="H235" s="18">
        <v>66603.75</v>
      </c>
      <c r="I235" s="18">
        <v>19033.939999999999</v>
      </c>
      <c r="J235" s="18"/>
      <c r="K235" s="18"/>
      <c r="L235" s="19">
        <f>SUM(F235:K235)</f>
        <v>320978.42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222341.83</v>
      </c>
      <c r="G237" s="18">
        <v>120471.44</v>
      </c>
      <c r="H237" s="18">
        <v>47462.23</v>
      </c>
      <c r="I237" s="18">
        <v>2064.16</v>
      </c>
      <c r="J237" s="18"/>
      <c r="K237" s="18">
        <v>120</v>
      </c>
      <c r="L237" s="19">
        <f t="shared" ref="L237:L243" si="4">SUM(F237:K237)</f>
        <v>392459.66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136532.79999999999</v>
      </c>
      <c r="G238" s="18">
        <v>99021.51</v>
      </c>
      <c r="H238" s="18">
        <v>41451.730000000003</v>
      </c>
      <c r="I238" s="18">
        <v>37726.949999999997</v>
      </c>
      <c r="J238" s="18">
        <v>10920.65</v>
      </c>
      <c r="K238" s="18"/>
      <c r="L238" s="19">
        <f t="shared" si="4"/>
        <v>325653.64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210139.15</v>
      </c>
      <c r="G239" s="18">
        <v>117181.07</v>
      </c>
      <c r="H239" s="18">
        <v>43569.88</v>
      </c>
      <c r="I239" s="18">
        <v>2300.0300000000002</v>
      </c>
      <c r="J239" s="18"/>
      <c r="K239" s="18">
        <v>11668.72</v>
      </c>
      <c r="L239" s="19">
        <f t="shared" si="4"/>
        <v>384858.85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290743.92</v>
      </c>
      <c r="G240" s="18">
        <v>160929.89000000001</v>
      </c>
      <c r="H240" s="18">
        <v>17355.61</v>
      </c>
      <c r="I240" s="18">
        <v>703.57</v>
      </c>
      <c r="J240" s="18"/>
      <c r="K240" s="18">
        <v>8157.12</v>
      </c>
      <c r="L240" s="19">
        <f t="shared" si="4"/>
        <v>477890.11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68149.179999999993</v>
      </c>
      <c r="G241" s="18">
        <v>37891.040000000001</v>
      </c>
      <c r="H241" s="18">
        <v>33296.230000000003</v>
      </c>
      <c r="I241" s="18">
        <v>228.47</v>
      </c>
      <c r="J241" s="18">
        <v>480</v>
      </c>
      <c r="K241" s="18"/>
      <c r="L241" s="19">
        <f t="shared" si="4"/>
        <v>140044.92000000001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265570.08</v>
      </c>
      <c r="G242" s="18">
        <v>143456.13</v>
      </c>
      <c r="H242" s="18">
        <v>417371.19</v>
      </c>
      <c r="I242" s="18">
        <v>278951.46999999997</v>
      </c>
      <c r="J242" s="18">
        <v>1908.69</v>
      </c>
      <c r="K242" s="18"/>
      <c r="L242" s="19">
        <f t="shared" si="4"/>
        <v>1107257.56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>
        <v>0.01</v>
      </c>
      <c r="H243" s="18">
        <v>237787.83</v>
      </c>
      <c r="I243" s="18">
        <v>5431.82</v>
      </c>
      <c r="J243" s="18"/>
      <c r="K243" s="18"/>
      <c r="L243" s="19">
        <f t="shared" si="4"/>
        <v>243219.66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5067385.22</v>
      </c>
      <c r="G246" s="41">
        <f t="shared" si="5"/>
        <v>2777727.689999999</v>
      </c>
      <c r="H246" s="41">
        <f t="shared" si="5"/>
        <v>1387062.03</v>
      </c>
      <c r="I246" s="41">
        <f t="shared" si="5"/>
        <v>501068.37</v>
      </c>
      <c r="J246" s="41">
        <f t="shared" si="5"/>
        <v>36189.770000000004</v>
      </c>
      <c r="K246" s="41">
        <f t="shared" si="5"/>
        <v>20864.84</v>
      </c>
      <c r="L246" s="41">
        <f t="shared" si="5"/>
        <v>9790297.9199999999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131500.79999999999</v>
      </c>
      <c r="G250" s="18">
        <v>73331.77</v>
      </c>
      <c r="H250" s="18">
        <v>9857.5300000000007</v>
      </c>
      <c r="I250" s="18">
        <v>17337.150000000001</v>
      </c>
      <c r="J250" s="18">
        <v>4000</v>
      </c>
      <c r="K250" s="18">
        <v>2867</v>
      </c>
      <c r="L250" s="19">
        <f t="shared" si="6"/>
        <v>238894.25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24126</v>
      </c>
      <c r="I254" s="18"/>
      <c r="J254" s="18"/>
      <c r="K254" s="18"/>
      <c r="L254" s="19">
        <f t="shared" si="6"/>
        <v>24126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131500.79999999999</v>
      </c>
      <c r="G255" s="41">
        <f t="shared" si="7"/>
        <v>73331.77</v>
      </c>
      <c r="H255" s="41">
        <f t="shared" si="7"/>
        <v>33983.53</v>
      </c>
      <c r="I255" s="41">
        <f t="shared" si="7"/>
        <v>17337.150000000001</v>
      </c>
      <c r="J255" s="41">
        <f t="shared" si="7"/>
        <v>4000</v>
      </c>
      <c r="K255" s="41">
        <f t="shared" si="7"/>
        <v>2867</v>
      </c>
      <c r="L255" s="41">
        <f>SUM(F255:K255)</f>
        <v>263020.25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14654544.109999999</v>
      </c>
      <c r="G256" s="41">
        <f t="shared" si="8"/>
        <v>8034861.9999999981</v>
      </c>
      <c r="H256" s="41">
        <f t="shared" si="8"/>
        <v>3354273.7499999995</v>
      </c>
      <c r="I256" s="41">
        <f t="shared" si="8"/>
        <v>1314109.3399999999</v>
      </c>
      <c r="J256" s="41">
        <f t="shared" si="8"/>
        <v>103390.37</v>
      </c>
      <c r="K256" s="41">
        <f t="shared" si="8"/>
        <v>54012.86</v>
      </c>
      <c r="L256" s="41">
        <f t="shared" si="8"/>
        <v>27515192.43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1802095.82</v>
      </c>
      <c r="L259" s="19">
        <f>SUM(F259:K259)</f>
        <v>1802095.82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554604.18000000005</v>
      </c>
      <c r="L260" s="19">
        <f>SUM(F260:K260)</f>
        <v>554604.18000000005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150000</v>
      </c>
      <c r="L263" s="19">
        <f t="shared" ref="L263:L269" si="9">SUM(F263:K263)</f>
        <v>150000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2506700</v>
      </c>
      <c r="L269" s="41">
        <f t="shared" si="9"/>
        <v>2506700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14654544.109999999</v>
      </c>
      <c r="G270" s="42">
        <f t="shared" si="11"/>
        <v>8034861.9999999981</v>
      </c>
      <c r="H270" s="42">
        <f t="shared" si="11"/>
        <v>3354273.7499999995</v>
      </c>
      <c r="I270" s="42">
        <f t="shared" si="11"/>
        <v>1314109.3399999999</v>
      </c>
      <c r="J270" s="42">
        <f t="shared" si="11"/>
        <v>103390.37</v>
      </c>
      <c r="K270" s="42">
        <f t="shared" si="11"/>
        <v>2560712.86</v>
      </c>
      <c r="L270" s="42">
        <f t="shared" si="11"/>
        <v>30021892.43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290296.06</v>
      </c>
      <c r="G275" s="18">
        <v>148738.07999999999</v>
      </c>
      <c r="H275" s="18">
        <v>92311.02</v>
      </c>
      <c r="I275" s="18">
        <v>34666.519999999997</v>
      </c>
      <c r="J275" s="18"/>
      <c r="K275" s="18"/>
      <c r="L275" s="19">
        <f>SUM(F275:K275)</f>
        <v>566011.68000000005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184774.15</v>
      </c>
      <c r="G276" s="18">
        <v>64343.22</v>
      </c>
      <c r="H276" s="18">
        <v>4768.46</v>
      </c>
      <c r="I276" s="18">
        <v>790.89</v>
      </c>
      <c r="J276" s="18">
        <v>3333.87</v>
      </c>
      <c r="K276" s="18"/>
      <c r="L276" s="19">
        <f>SUM(F276:K276)</f>
        <v>258010.59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137033.60000000001</v>
      </c>
      <c r="G278" s="18">
        <v>10194.799999999999</v>
      </c>
      <c r="H278" s="18">
        <v>25593.95</v>
      </c>
      <c r="I278" s="18">
        <v>6123.04</v>
      </c>
      <c r="J278" s="18"/>
      <c r="K278" s="18">
        <v>44.35</v>
      </c>
      <c r="L278" s="19">
        <f>SUM(F278:K278)</f>
        <v>178989.74000000002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16386.48</v>
      </c>
      <c r="G280" s="18">
        <v>1253.5999999999999</v>
      </c>
      <c r="H280" s="18"/>
      <c r="I280" s="18"/>
      <c r="J280" s="18"/>
      <c r="K280" s="18"/>
      <c r="L280" s="19">
        <f t="shared" ref="L280:L286" si="12">SUM(F280:K280)</f>
        <v>17640.079999999998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15304.96</v>
      </c>
      <c r="G281" s="18">
        <v>6135.36</v>
      </c>
      <c r="H281" s="18">
        <v>66819.3</v>
      </c>
      <c r="I281" s="18">
        <v>2021.47</v>
      </c>
      <c r="J281" s="18">
        <v>1317.36</v>
      </c>
      <c r="K281" s="18"/>
      <c r="L281" s="19">
        <f t="shared" si="12"/>
        <v>91598.45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137.63</v>
      </c>
      <c r="G282" s="18">
        <v>6.73</v>
      </c>
      <c r="H282" s="18"/>
      <c r="I282" s="18">
        <v>50.57</v>
      </c>
      <c r="J282" s="18"/>
      <c r="K282" s="18"/>
      <c r="L282" s="19">
        <f t="shared" si="12"/>
        <v>194.92999999999998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>
        <v>10.67</v>
      </c>
      <c r="J283" s="18"/>
      <c r="K283" s="18"/>
      <c r="L283" s="19">
        <f t="shared" si="12"/>
        <v>10.67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7832.88</v>
      </c>
      <c r="I286" s="18"/>
      <c r="J286" s="18"/>
      <c r="K286" s="18"/>
      <c r="L286" s="19">
        <f t="shared" si="12"/>
        <v>7832.88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643932.87999999989</v>
      </c>
      <c r="G289" s="42">
        <f t="shared" si="13"/>
        <v>230671.78999999998</v>
      </c>
      <c r="H289" s="42">
        <f t="shared" si="13"/>
        <v>197325.61000000002</v>
      </c>
      <c r="I289" s="42">
        <f t="shared" si="13"/>
        <v>43663.159999999996</v>
      </c>
      <c r="J289" s="42">
        <f t="shared" si="13"/>
        <v>4651.2299999999996</v>
      </c>
      <c r="K289" s="42">
        <f t="shared" si="13"/>
        <v>44.35</v>
      </c>
      <c r="L289" s="41">
        <f t="shared" si="13"/>
        <v>1120289.0199999998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157225.54999999999</v>
      </c>
      <c r="G294" s="18">
        <v>80853.09</v>
      </c>
      <c r="H294" s="18">
        <v>50012.74</v>
      </c>
      <c r="I294" s="18">
        <v>18126.96</v>
      </c>
      <c r="J294" s="18"/>
      <c r="K294" s="18"/>
      <c r="L294" s="19">
        <f>SUM(F294:K294)</f>
        <v>306218.34000000003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90076.34</v>
      </c>
      <c r="G295" s="18">
        <v>35096.29</v>
      </c>
      <c r="H295" s="18">
        <v>2600.9699999999998</v>
      </c>
      <c r="I295" s="18">
        <v>431.39</v>
      </c>
      <c r="J295" s="18">
        <v>1546.3</v>
      </c>
      <c r="K295" s="18"/>
      <c r="L295" s="19">
        <f>SUM(F295:K295)</f>
        <v>129751.29000000001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74745.600000000006</v>
      </c>
      <c r="G297" s="18">
        <v>5560.8</v>
      </c>
      <c r="H297" s="18">
        <v>13960.34</v>
      </c>
      <c r="I297" s="18">
        <v>3339.84</v>
      </c>
      <c r="J297" s="18"/>
      <c r="K297" s="18">
        <v>24.19</v>
      </c>
      <c r="L297" s="19">
        <f>SUM(F297:K297)</f>
        <v>97630.77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8938.08</v>
      </c>
      <c r="G299" s="18">
        <v>683.78</v>
      </c>
      <c r="H299" s="18"/>
      <c r="I299" s="18"/>
      <c r="J299" s="18"/>
      <c r="K299" s="18"/>
      <c r="L299" s="19">
        <f t="shared" ref="L299:L305" si="14">SUM(F299:K299)</f>
        <v>9621.86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8348.16</v>
      </c>
      <c r="G300" s="18">
        <v>3346.56</v>
      </c>
      <c r="H300" s="18">
        <v>34090.53</v>
      </c>
      <c r="I300" s="18">
        <v>1102.6099999999999</v>
      </c>
      <c r="J300" s="18">
        <v>718.56</v>
      </c>
      <c r="K300" s="18"/>
      <c r="L300" s="19">
        <f t="shared" si="14"/>
        <v>47606.42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75.069999999999993</v>
      </c>
      <c r="G301" s="18">
        <v>3.67</v>
      </c>
      <c r="H301" s="18"/>
      <c r="I301" s="18">
        <v>27.58</v>
      </c>
      <c r="J301" s="18"/>
      <c r="K301" s="18"/>
      <c r="L301" s="19">
        <f t="shared" si="14"/>
        <v>106.32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>
        <v>5.82</v>
      </c>
      <c r="J302" s="18"/>
      <c r="K302" s="18"/>
      <c r="L302" s="19">
        <f t="shared" si="14"/>
        <v>5.82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4272.4799999999996</v>
      </c>
      <c r="I305" s="18"/>
      <c r="J305" s="18"/>
      <c r="K305" s="18"/>
      <c r="L305" s="19">
        <f t="shared" si="14"/>
        <v>4272.4799999999996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339408.8</v>
      </c>
      <c r="G308" s="42">
        <f t="shared" si="15"/>
        <v>125544.19</v>
      </c>
      <c r="H308" s="42">
        <f t="shared" si="15"/>
        <v>104937.06</v>
      </c>
      <c r="I308" s="42">
        <f t="shared" si="15"/>
        <v>23034.2</v>
      </c>
      <c r="J308" s="42">
        <f t="shared" si="15"/>
        <v>2264.8599999999997</v>
      </c>
      <c r="K308" s="42">
        <f t="shared" si="15"/>
        <v>24.19</v>
      </c>
      <c r="L308" s="41">
        <f t="shared" si="15"/>
        <v>595213.29999999993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408412.62</v>
      </c>
      <c r="G313" s="18">
        <v>123748.41</v>
      </c>
      <c r="H313" s="18">
        <v>94842.31</v>
      </c>
      <c r="I313" s="18">
        <v>32854.25</v>
      </c>
      <c r="J313" s="18"/>
      <c r="K313" s="18"/>
      <c r="L313" s="19">
        <f>SUM(F313:K313)</f>
        <v>659857.59000000008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120101.77</v>
      </c>
      <c r="G314" s="18">
        <v>46795.07</v>
      </c>
      <c r="H314" s="18">
        <v>3467.97</v>
      </c>
      <c r="I314" s="18">
        <v>575.19000000000005</v>
      </c>
      <c r="J314" s="18">
        <v>2061.7199999999998</v>
      </c>
      <c r="K314" s="18"/>
      <c r="L314" s="19">
        <f>SUM(F314:K314)</f>
        <v>173001.72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122507.16</v>
      </c>
      <c r="G315" s="18">
        <v>20590.96</v>
      </c>
      <c r="H315" s="18">
        <v>35097.75</v>
      </c>
      <c r="I315" s="18">
        <v>38460.559999999998</v>
      </c>
      <c r="J315" s="18">
        <v>44276.76</v>
      </c>
      <c r="K315" s="18">
        <v>1600</v>
      </c>
      <c r="L315" s="19">
        <f>SUM(F315:K315)</f>
        <v>262533.19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99660.800000000003</v>
      </c>
      <c r="G316" s="18">
        <v>7414.4</v>
      </c>
      <c r="H316" s="18">
        <v>18613.78</v>
      </c>
      <c r="I316" s="18">
        <v>4453.12</v>
      </c>
      <c r="J316" s="18"/>
      <c r="K316" s="18">
        <v>32.26</v>
      </c>
      <c r="L316" s="19">
        <f>SUM(F316:K316)</f>
        <v>130174.35999999999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11917.44</v>
      </c>
      <c r="G318" s="18">
        <v>911.71</v>
      </c>
      <c r="H318" s="18">
        <v>4881.2700000000004</v>
      </c>
      <c r="I318" s="18"/>
      <c r="J318" s="18"/>
      <c r="K318" s="18">
        <v>15</v>
      </c>
      <c r="L318" s="19">
        <f t="shared" ref="L318:L324" si="16">SUM(F318:K318)</f>
        <v>17725.420000000002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11130.88</v>
      </c>
      <c r="G319" s="18">
        <v>4462.08</v>
      </c>
      <c r="H319" s="18">
        <v>76727.81</v>
      </c>
      <c r="I319" s="18">
        <v>4165.8</v>
      </c>
      <c r="J319" s="18">
        <v>4008.08</v>
      </c>
      <c r="K319" s="18">
        <v>5194.3100000000004</v>
      </c>
      <c r="L319" s="19">
        <f t="shared" si="16"/>
        <v>105688.95999999999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100.1</v>
      </c>
      <c r="G320" s="18">
        <v>4.9000000000000004</v>
      </c>
      <c r="H320" s="18"/>
      <c r="I320" s="18">
        <v>36.78</v>
      </c>
      <c r="J320" s="18"/>
      <c r="K320" s="18"/>
      <c r="L320" s="19">
        <f t="shared" si="16"/>
        <v>141.78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>
        <v>7.76</v>
      </c>
      <c r="J321" s="18"/>
      <c r="K321" s="18"/>
      <c r="L321" s="19">
        <f t="shared" si="16"/>
        <v>7.76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>
        <v>48811.01</v>
      </c>
      <c r="I323" s="18"/>
      <c r="J323" s="18"/>
      <c r="K323" s="18"/>
      <c r="L323" s="19">
        <f t="shared" si="16"/>
        <v>48811.01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11108.39</v>
      </c>
      <c r="I324" s="18"/>
      <c r="J324" s="18"/>
      <c r="K324" s="18"/>
      <c r="L324" s="19">
        <f t="shared" si="16"/>
        <v>11108.39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773830.77</v>
      </c>
      <c r="G327" s="42">
        <f t="shared" si="17"/>
        <v>203927.52999999997</v>
      </c>
      <c r="H327" s="42">
        <f t="shared" si="17"/>
        <v>293550.28999999998</v>
      </c>
      <c r="I327" s="42">
        <f t="shared" si="17"/>
        <v>80553.459999999992</v>
      </c>
      <c r="J327" s="42">
        <f t="shared" si="17"/>
        <v>50346.560000000005</v>
      </c>
      <c r="K327" s="42">
        <f t="shared" si="17"/>
        <v>6841.5700000000006</v>
      </c>
      <c r="L327" s="41">
        <f t="shared" si="17"/>
        <v>1409050.1799999997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143036</v>
      </c>
      <c r="G332" s="18">
        <v>15628.28</v>
      </c>
      <c r="H332" s="18">
        <v>18381.25</v>
      </c>
      <c r="I332" s="18">
        <v>14618.05</v>
      </c>
      <c r="J332" s="18"/>
      <c r="K332" s="18">
        <v>130</v>
      </c>
      <c r="L332" s="19">
        <f t="shared" si="18"/>
        <v>191793.58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143036</v>
      </c>
      <c r="G336" s="41">
        <f t="shared" si="19"/>
        <v>15628.28</v>
      </c>
      <c r="H336" s="41">
        <f t="shared" si="19"/>
        <v>18381.25</v>
      </c>
      <c r="I336" s="41">
        <f t="shared" si="19"/>
        <v>14618.05</v>
      </c>
      <c r="J336" s="41">
        <f t="shared" si="19"/>
        <v>0</v>
      </c>
      <c r="K336" s="41">
        <f t="shared" si="19"/>
        <v>130</v>
      </c>
      <c r="L336" s="41">
        <f t="shared" si="18"/>
        <v>191793.58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1900208.45</v>
      </c>
      <c r="G337" s="41">
        <f t="shared" si="20"/>
        <v>575771.79</v>
      </c>
      <c r="H337" s="41">
        <f t="shared" si="20"/>
        <v>614194.21</v>
      </c>
      <c r="I337" s="41">
        <f t="shared" si="20"/>
        <v>161868.87</v>
      </c>
      <c r="J337" s="41">
        <f t="shared" si="20"/>
        <v>57262.65</v>
      </c>
      <c r="K337" s="41">
        <f t="shared" si="20"/>
        <v>7040.1100000000006</v>
      </c>
      <c r="L337" s="41">
        <f t="shared" si="20"/>
        <v>3316346.0799999996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150000</v>
      </c>
      <c r="L343" s="19">
        <f t="shared" ref="L343:L349" si="21">SUM(F343:K343)</f>
        <v>150000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982.05</v>
      </c>
      <c r="L349" s="19">
        <f t="shared" si="21"/>
        <v>982.05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150982.04999999999</v>
      </c>
      <c r="L350" s="41">
        <f>SUM(L340:L349)</f>
        <v>150982.04999999999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1900208.45</v>
      </c>
      <c r="G351" s="41">
        <f>G337</f>
        <v>575771.79</v>
      </c>
      <c r="H351" s="41">
        <f>H337</f>
        <v>614194.21</v>
      </c>
      <c r="I351" s="41">
        <f>I337</f>
        <v>161868.87</v>
      </c>
      <c r="J351" s="41">
        <f>J337</f>
        <v>57262.65</v>
      </c>
      <c r="K351" s="47">
        <f>K337+K350</f>
        <v>158022.15999999997</v>
      </c>
      <c r="L351" s="41">
        <f>L337+L350</f>
        <v>3467328.1299999994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185488.82</v>
      </c>
      <c r="G357" s="18">
        <v>30586.6</v>
      </c>
      <c r="H357" s="18">
        <v>19514.54</v>
      </c>
      <c r="I357" s="18">
        <v>272989.98</v>
      </c>
      <c r="J357" s="18">
        <v>6822.29</v>
      </c>
      <c r="K357" s="18"/>
      <c r="L357" s="13">
        <f>SUM(F357:K357)</f>
        <v>515402.23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132262.14000000001</v>
      </c>
      <c r="G358" s="18">
        <v>21421.65</v>
      </c>
      <c r="H358" s="18">
        <v>3781.51</v>
      </c>
      <c r="I358" s="18">
        <v>162393.97</v>
      </c>
      <c r="J358" s="18">
        <v>1442</v>
      </c>
      <c r="K358" s="18"/>
      <c r="L358" s="19">
        <f>SUM(F358:K358)</f>
        <v>321301.27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109097.35</v>
      </c>
      <c r="G359" s="18">
        <v>19270.16</v>
      </c>
      <c r="H359" s="18">
        <v>3866.65</v>
      </c>
      <c r="I359" s="18">
        <v>173329.7</v>
      </c>
      <c r="J359" s="18">
        <v>2458.63</v>
      </c>
      <c r="K359" s="18"/>
      <c r="L359" s="19">
        <f>SUM(F359:K359)</f>
        <v>308022.49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426848.31000000006</v>
      </c>
      <c r="G361" s="47">
        <f t="shared" si="22"/>
        <v>71278.41</v>
      </c>
      <c r="H361" s="47">
        <f t="shared" si="22"/>
        <v>27162.700000000004</v>
      </c>
      <c r="I361" s="47">
        <f t="shared" si="22"/>
        <v>608713.64999999991</v>
      </c>
      <c r="J361" s="47">
        <f t="shared" si="22"/>
        <v>10722.920000000002</v>
      </c>
      <c r="K361" s="47">
        <f t="shared" si="22"/>
        <v>0</v>
      </c>
      <c r="L361" s="47">
        <f t="shared" si="22"/>
        <v>1144725.99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126115.68+63887.5+61683.5</f>
        <v>251686.68</v>
      </c>
      <c r="G366" s="18">
        <v>148238.79999999999</v>
      </c>
      <c r="H366" s="18">
        <v>159767.96</v>
      </c>
      <c r="I366" s="56">
        <f>SUM(F366:H366)</f>
        <v>559693.43999999994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10333.56+4.99+5117.87+5846.88</f>
        <v>21303.3</v>
      </c>
      <c r="G367" s="63">
        <v>14155.17</v>
      </c>
      <c r="H367" s="63">
        <v>13561.74</v>
      </c>
      <c r="I367" s="56">
        <f>SUM(F367:H367)</f>
        <v>49020.21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272989.98</v>
      </c>
      <c r="G368" s="47">
        <f>SUM(G366:G367)</f>
        <v>162393.97</v>
      </c>
      <c r="H368" s="47">
        <f>SUM(H366:H367)</f>
        <v>173329.69999999998</v>
      </c>
      <c r="I368" s="47">
        <f>SUM(I366:I367)</f>
        <v>608713.64999999991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/>
      <c r="G464" s="18"/>
      <c r="H464" s="18"/>
      <c r="I464" s="18"/>
      <c r="J464" s="18"/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30021892.43</v>
      </c>
      <c r="G467" s="18">
        <v>1144725.99</v>
      </c>
      <c r="H467" s="18">
        <v>3467328.13</v>
      </c>
      <c r="I467" s="18"/>
      <c r="J467" s="18"/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30021892.43</v>
      </c>
      <c r="G469" s="53">
        <f>SUM(G467:G468)</f>
        <v>1144725.99</v>
      </c>
      <c r="H469" s="53">
        <f>SUM(H467:H468)</f>
        <v>3467328.13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30021892.43</v>
      </c>
      <c r="G471" s="18">
        <v>1144725.99</v>
      </c>
      <c r="H471" s="18">
        <v>3467328.13</v>
      </c>
      <c r="I471" s="18"/>
      <c r="J471" s="18"/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30021892.43</v>
      </c>
      <c r="G473" s="53">
        <f>SUM(G471:G472)</f>
        <v>1144725.99</v>
      </c>
      <c r="H473" s="53">
        <f>SUM(H471:H472)</f>
        <v>3467328.13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0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1172276.66-72252+F276</f>
        <v>1284798.8099999998</v>
      </c>
      <c r="G520" s="18">
        <f>G276+636060.25-(72252*0.51)</f>
        <v>663554.94999999995</v>
      </c>
      <c r="H520" s="18">
        <f>H276+523897.62-1150</f>
        <v>527516.07999999996</v>
      </c>
      <c r="I520" s="18">
        <f>I276+3884.43</f>
        <v>4675.32</v>
      </c>
      <c r="J520" s="18">
        <f>J276</f>
        <v>3333.87</v>
      </c>
      <c r="K520" s="18"/>
      <c r="L520" s="88">
        <f>SUM(F520:K520)</f>
        <v>2483879.0299999998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F295+703062.9-72252</f>
        <v>720887.24</v>
      </c>
      <c r="G521" s="18">
        <f>G295+380436.16-(72252*0.51)</f>
        <v>378683.92999999993</v>
      </c>
      <c r="H521" s="18">
        <f>H295+253518.93-1139.63</f>
        <v>254980.27</v>
      </c>
      <c r="I521" s="18">
        <f>I295+8645.89</f>
        <v>9077.2799999999988</v>
      </c>
      <c r="J521" s="18">
        <f>J295+189.61</f>
        <v>1735.9099999999999</v>
      </c>
      <c r="K521" s="18"/>
      <c r="L521" s="88">
        <f>SUM(F521:K521)</f>
        <v>1365364.63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F314+692943.5-72252</f>
        <v>740793.27</v>
      </c>
      <c r="G522" s="18">
        <f>G314+376888.14-(72252*0.51)</f>
        <v>386834.69</v>
      </c>
      <c r="H522" s="18">
        <f>H314+413233.55-1150</f>
        <v>415551.51999999996</v>
      </c>
      <c r="I522" s="18">
        <f>I314+1269.69</f>
        <v>1844.88</v>
      </c>
      <c r="J522" s="18">
        <f>J314+1398.45</f>
        <v>3460.17</v>
      </c>
      <c r="K522" s="18"/>
      <c r="L522" s="88">
        <f>SUM(F522:K522)</f>
        <v>1548484.5299999998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2746479.32</v>
      </c>
      <c r="G523" s="108">
        <f t="shared" ref="G523:L523" si="36">SUM(G520:G522)</f>
        <v>1429073.5699999998</v>
      </c>
      <c r="H523" s="108">
        <f t="shared" si="36"/>
        <v>1198047.8699999999</v>
      </c>
      <c r="I523" s="108">
        <f t="shared" si="36"/>
        <v>15597.48</v>
      </c>
      <c r="J523" s="108">
        <f t="shared" si="36"/>
        <v>8529.9500000000007</v>
      </c>
      <c r="K523" s="108">
        <f t="shared" si="36"/>
        <v>0</v>
      </c>
      <c r="L523" s="89">
        <f t="shared" si="36"/>
        <v>5397728.1899999995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224597.95</v>
      </c>
      <c r="G525" s="18">
        <f>F525*0.51</f>
        <v>114544.95450000001</v>
      </c>
      <c r="H525" s="18">
        <v>68836</v>
      </c>
      <c r="I525" s="18">
        <v>2071.41</v>
      </c>
      <c r="J525" s="18"/>
      <c r="K525" s="18"/>
      <c r="L525" s="88">
        <f>SUM(F525:K525)</f>
        <v>410050.31449999998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37260</v>
      </c>
      <c r="G526" s="18">
        <f>F526*0.51</f>
        <v>19002.599999999999</v>
      </c>
      <c r="H526" s="18">
        <v>37183</v>
      </c>
      <c r="I526" s="18">
        <v>813.42</v>
      </c>
      <c r="J526" s="18"/>
      <c r="K526" s="18"/>
      <c r="L526" s="88">
        <f>SUM(F526:K526)</f>
        <v>94259.02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24840</v>
      </c>
      <c r="G527" s="18">
        <f>F527*0.51</f>
        <v>12668.4</v>
      </c>
      <c r="H527" s="18">
        <v>37183</v>
      </c>
      <c r="I527" s="18">
        <v>934.16</v>
      </c>
      <c r="J527" s="18"/>
      <c r="K527" s="18"/>
      <c r="L527" s="88">
        <f>SUM(F527:K527)</f>
        <v>75625.56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286697.95</v>
      </c>
      <c r="G528" s="89">
        <f t="shared" ref="G528:L528" si="37">SUM(G525:G527)</f>
        <v>146215.95449999999</v>
      </c>
      <c r="H528" s="89">
        <f t="shared" si="37"/>
        <v>143202</v>
      </c>
      <c r="I528" s="89">
        <f t="shared" si="37"/>
        <v>3818.99</v>
      </c>
      <c r="J528" s="89">
        <f t="shared" si="37"/>
        <v>0</v>
      </c>
      <c r="K528" s="89">
        <f t="shared" si="37"/>
        <v>0</v>
      </c>
      <c r="L528" s="89">
        <f t="shared" si="37"/>
        <v>579934.89449999994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72252</v>
      </c>
      <c r="G530" s="18">
        <f>F530*0.51</f>
        <v>36848.520000000004</v>
      </c>
      <c r="H530" s="18">
        <v>1150</v>
      </c>
      <c r="I530" s="18"/>
      <c r="J530" s="18"/>
      <c r="K530" s="18">
        <v>749</v>
      </c>
      <c r="L530" s="88">
        <f>SUM(F530:K530)</f>
        <v>110999.52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72252</v>
      </c>
      <c r="G531" s="18">
        <f>F531*0.51</f>
        <v>36848.520000000004</v>
      </c>
      <c r="H531" s="18">
        <v>1139.6300000000001</v>
      </c>
      <c r="I531" s="18"/>
      <c r="J531" s="18"/>
      <c r="K531" s="18">
        <v>744</v>
      </c>
      <c r="L531" s="88">
        <f>SUM(F531:K531)</f>
        <v>110984.15000000001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72252</v>
      </c>
      <c r="G532" s="18">
        <f>F532*0.51</f>
        <v>36848.520000000004</v>
      </c>
      <c r="H532" s="18">
        <v>1150</v>
      </c>
      <c r="I532" s="18"/>
      <c r="J532" s="18"/>
      <c r="K532" s="18">
        <v>719</v>
      </c>
      <c r="L532" s="88">
        <f>SUM(F532:K532)</f>
        <v>110969.52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216756</v>
      </c>
      <c r="G533" s="89">
        <f t="shared" ref="G533:L533" si="38">SUM(G530:G532)</f>
        <v>110545.56000000001</v>
      </c>
      <c r="H533" s="89">
        <f t="shared" si="38"/>
        <v>3439.63</v>
      </c>
      <c r="I533" s="89">
        <f t="shared" si="38"/>
        <v>0</v>
      </c>
      <c r="J533" s="89">
        <f t="shared" si="38"/>
        <v>0</v>
      </c>
      <c r="K533" s="89">
        <f t="shared" si="38"/>
        <v>2212</v>
      </c>
      <c r="L533" s="89">
        <f t="shared" si="38"/>
        <v>332953.19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88421.69</v>
      </c>
      <c r="I540" s="18"/>
      <c r="J540" s="18"/>
      <c r="K540" s="18"/>
      <c r="L540" s="88">
        <f>SUM(F540:K540)</f>
        <v>88421.69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47676.959999999999</v>
      </c>
      <c r="I541" s="18"/>
      <c r="J541" s="18"/>
      <c r="K541" s="18"/>
      <c r="L541" s="88">
        <f>SUM(F541:K541)</f>
        <v>47676.959999999999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70758.31</v>
      </c>
      <c r="I542" s="18"/>
      <c r="J542" s="18"/>
      <c r="K542" s="18"/>
      <c r="L542" s="88">
        <f>SUM(F542:K542)</f>
        <v>70758.31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206856.95999999999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206856.95999999999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3249933.27</v>
      </c>
      <c r="G544" s="89">
        <f t="shared" ref="G544:L544" si="41">G523+G528+G533+G538+G543</f>
        <v>1685835.0844999999</v>
      </c>
      <c r="H544" s="89">
        <f t="shared" si="41"/>
        <v>1551546.4599999997</v>
      </c>
      <c r="I544" s="89">
        <f t="shared" si="41"/>
        <v>19416.47</v>
      </c>
      <c r="J544" s="89">
        <f t="shared" si="41"/>
        <v>8529.9500000000007</v>
      </c>
      <c r="K544" s="89">
        <f t="shared" si="41"/>
        <v>2212</v>
      </c>
      <c r="L544" s="89">
        <f t="shared" si="41"/>
        <v>6517473.2345000003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2483879.0299999998</v>
      </c>
      <c r="G548" s="87">
        <f>L525</f>
        <v>410050.31449999998</v>
      </c>
      <c r="H548" s="87">
        <f>L530</f>
        <v>110999.52</v>
      </c>
      <c r="I548" s="87">
        <f>L535</f>
        <v>0</v>
      </c>
      <c r="J548" s="87">
        <f>L540</f>
        <v>88421.69</v>
      </c>
      <c r="K548" s="87">
        <f>SUM(F548:J548)</f>
        <v>3093350.5544999996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1365364.63</v>
      </c>
      <c r="G549" s="87">
        <f>L526</f>
        <v>94259.02</v>
      </c>
      <c r="H549" s="87">
        <f>L531</f>
        <v>110984.15000000001</v>
      </c>
      <c r="I549" s="87">
        <f>L536</f>
        <v>0</v>
      </c>
      <c r="J549" s="87">
        <f>L541</f>
        <v>47676.959999999999</v>
      </c>
      <c r="K549" s="87">
        <f>SUM(F549:J549)</f>
        <v>1618284.7599999998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1548484.5299999998</v>
      </c>
      <c r="G550" s="87">
        <f>L527</f>
        <v>75625.56</v>
      </c>
      <c r="H550" s="87">
        <f>L532</f>
        <v>110969.52</v>
      </c>
      <c r="I550" s="87">
        <f>L537</f>
        <v>0</v>
      </c>
      <c r="J550" s="87">
        <f>L542</f>
        <v>70758.31</v>
      </c>
      <c r="K550" s="87">
        <f>SUM(F550:J550)</f>
        <v>1805837.92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5397728.1899999995</v>
      </c>
      <c r="G551" s="89">
        <f t="shared" si="42"/>
        <v>579934.89449999994</v>
      </c>
      <c r="H551" s="89">
        <f t="shared" si="42"/>
        <v>332953.19</v>
      </c>
      <c r="I551" s="89">
        <f t="shared" si="42"/>
        <v>0</v>
      </c>
      <c r="J551" s="89">
        <f t="shared" si="42"/>
        <v>206856.95999999999</v>
      </c>
      <c r="K551" s="89">
        <f t="shared" si="42"/>
        <v>6517473.2344999993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87373.98</v>
      </c>
      <c r="G578" s="18"/>
      <c r="H578" s="18">
        <v>39945.379999999997</v>
      </c>
      <c r="I578" s="87">
        <f t="shared" si="47"/>
        <v>127319.35999999999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10339.200000000001</v>
      </c>
      <c r="G581" s="18">
        <v>174239.83</v>
      </c>
      <c r="H581" s="18">
        <v>268638.86</v>
      </c>
      <c r="I581" s="87">
        <f t="shared" si="47"/>
        <v>453217.89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163245.9+7468.75</f>
        <v>170714.65</v>
      </c>
      <c r="I590" s="18">
        <f>89043.22+4073.86</f>
        <v>93117.08</v>
      </c>
      <c r="J590" s="18">
        <f>118724.29+5431.82+0.01</f>
        <v>124156.11999999998</v>
      </c>
      <c r="K590" s="104">
        <f t="shared" ref="K590:K596" si="48">SUM(H590:J590)</f>
        <v>387987.85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75558.56+12863.13</f>
        <v>88421.69</v>
      </c>
      <c r="I591" s="18">
        <f>41213.76+6463.2</f>
        <v>47676.959999999999</v>
      </c>
      <c r="J591" s="18">
        <f>54951.68+15806.63</f>
        <v>70758.31</v>
      </c>
      <c r="K591" s="104">
        <f t="shared" si="48"/>
        <v>206856.95999999999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200</v>
      </c>
      <c r="K592" s="104">
        <f t="shared" si="48"/>
        <v>200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12160.8</v>
      </c>
      <c r="J593" s="18">
        <v>44613.77</v>
      </c>
      <c r="K593" s="104">
        <f t="shared" si="48"/>
        <v>56774.569999999992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-90</v>
      </c>
      <c r="I594" s="18">
        <f>4430.22+2228.91-0.01</f>
        <v>6659.12</v>
      </c>
      <c r="J594" s="18">
        <f>-90+3581.46</f>
        <v>3491.46</v>
      </c>
      <c r="K594" s="104">
        <f t="shared" si="48"/>
        <v>10060.58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>
        <v>505</v>
      </c>
      <c r="J595" s="18"/>
      <c r="K595" s="104">
        <f t="shared" si="48"/>
        <v>505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259046.34</v>
      </c>
      <c r="I597" s="108">
        <f>SUM(I590:I596)</f>
        <v>160118.96</v>
      </c>
      <c r="J597" s="108">
        <f>SUM(J590:J596)</f>
        <v>243219.65999999997</v>
      </c>
      <c r="K597" s="108">
        <f>SUM(K590:K596)</f>
        <v>662384.95999999985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37073.39+4308.91+342.32</f>
        <v>41724.620000000003</v>
      </c>
      <c r="I603" s="18">
        <f>2078.14+26127.21+186.72</f>
        <v>28392.07</v>
      </c>
      <c r="J603" s="18">
        <f>47127.73+40189.77+3218.83</f>
        <v>90536.33</v>
      </c>
      <c r="K603" s="104">
        <f>SUM(H603:J603)</f>
        <v>160653.02000000002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41724.620000000003</v>
      </c>
      <c r="I604" s="108">
        <f>SUM(I601:I603)</f>
        <v>28392.07</v>
      </c>
      <c r="J604" s="108">
        <f>SUM(J601:J603)</f>
        <v>90536.33</v>
      </c>
      <c r="K604" s="108">
        <f>SUM(K601:K603)</f>
        <v>160653.02000000002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1320+7222.74+25954.53</f>
        <v>34497.269999999997</v>
      </c>
      <c r="G610" s="18">
        <f>F610*0.51</f>
        <v>17593.6077</v>
      </c>
      <c r="H610" s="18">
        <v>13196.07</v>
      </c>
      <c r="I610" s="18">
        <f>248.66+176</f>
        <v>424.65999999999997</v>
      </c>
      <c r="J610" s="18"/>
      <c r="K610" s="18"/>
      <c r="L610" s="88">
        <f>SUM(F610:K610)</f>
        <v>65711.607699999993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720+3939.67+14157.02</f>
        <v>18816.690000000002</v>
      </c>
      <c r="G611" s="18">
        <f>F611*0.51</f>
        <v>9596.5119000000013</v>
      </c>
      <c r="H611" s="18">
        <v>7197.86</v>
      </c>
      <c r="I611" s="18">
        <f>135.63+96</f>
        <v>231.63</v>
      </c>
      <c r="J611" s="18"/>
      <c r="K611" s="18"/>
      <c r="L611" s="88">
        <f>SUM(F611:K611)</f>
        <v>35842.691899999998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960+5252.9+18876.02</f>
        <v>25088.92</v>
      </c>
      <c r="G612" s="18">
        <f>F612*0.51</f>
        <v>12795.349199999999</v>
      </c>
      <c r="H612" s="18">
        <v>9597.14</v>
      </c>
      <c r="I612" s="18">
        <f>180.84+128</f>
        <v>308.84000000000003</v>
      </c>
      <c r="J612" s="18"/>
      <c r="K612" s="18"/>
      <c r="L612" s="88">
        <f>SUM(F612:K612)</f>
        <v>47790.249199999991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78402.880000000005</v>
      </c>
      <c r="G613" s="108">
        <f t="shared" si="49"/>
        <v>39985.468800000002</v>
      </c>
      <c r="H613" s="108">
        <f t="shared" si="49"/>
        <v>29991.07</v>
      </c>
      <c r="I613" s="108">
        <f t="shared" si="49"/>
        <v>965.13</v>
      </c>
      <c r="J613" s="108">
        <f t="shared" si="49"/>
        <v>0</v>
      </c>
      <c r="K613" s="108">
        <f t="shared" si="49"/>
        <v>0</v>
      </c>
      <c r="L613" s="89">
        <f t="shared" si="49"/>
        <v>149344.54879999999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853022.52</v>
      </c>
      <c r="H616" s="109">
        <f>SUM(F51)</f>
        <v>853022.5199999999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175247.37000000002</v>
      </c>
      <c r="H617" s="109">
        <f>SUM(G51)</f>
        <v>175247.37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777641.53</v>
      </c>
      <c r="H618" s="109">
        <f>SUM(H51)</f>
        <v>777641.53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0</v>
      </c>
      <c r="H621" s="109">
        <f>F475</f>
        <v>0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30021892.43</v>
      </c>
      <c r="H626" s="104">
        <f>SUM(F467)</f>
        <v>30021892.43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1144725.9900000002</v>
      </c>
      <c r="H627" s="104">
        <f>SUM(G467)</f>
        <v>1144725.99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3467328.1300000004</v>
      </c>
      <c r="H628" s="104">
        <f>SUM(H467)</f>
        <v>3467328.13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30021892.43</v>
      </c>
      <c r="H631" s="104">
        <f>SUM(F471)</f>
        <v>30021892.43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3467328.1299999994</v>
      </c>
      <c r="H632" s="104">
        <f>SUM(H471)</f>
        <v>3467328.13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608713.64999999991</v>
      </c>
      <c r="H633" s="104">
        <f>I368</f>
        <v>608713.64999999991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1144725.99</v>
      </c>
      <c r="H634" s="104">
        <f>SUM(G471)</f>
        <v>1144725.99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662384.95999999985</v>
      </c>
      <c r="H646" s="104">
        <f>L207+L225+L243</f>
        <v>662384.96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160653.02000000002</v>
      </c>
      <c r="H647" s="104">
        <f>(J256+J337)-(J254+J335)</f>
        <v>160653.01999999999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259046.34</v>
      </c>
      <c r="H648" s="104">
        <f>H597</f>
        <v>259046.34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160118.96</v>
      </c>
      <c r="H649" s="104">
        <f>I597</f>
        <v>160118.96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243219.66</v>
      </c>
      <c r="H650" s="104">
        <f>J597</f>
        <v>243219.65999999997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150000</v>
      </c>
      <c r="H652" s="104">
        <f>K263</f>
        <v>150000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12477904.51</v>
      </c>
      <c r="G659" s="19">
        <f>(L228+L308+L358)</f>
        <v>7536175.5699999984</v>
      </c>
      <c r="H659" s="19">
        <f>(L246+L327+L359)</f>
        <v>11507370.59</v>
      </c>
      <c r="I659" s="19">
        <f>SUM(F659:H659)</f>
        <v>31521450.669999998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176490.83315961176</v>
      </c>
      <c r="G660" s="19">
        <f>(L358/IF(SUM(L357:L359)=0,1,SUM(L357:L359))*(SUM(G96:G109)))</f>
        <v>110024.22096144479</v>
      </c>
      <c r="H660" s="19">
        <f>(L359/IF(SUM(L357:L359)=0,1,SUM(L357:L359))*(SUM(G96:G109)))</f>
        <v>105477.12587894349</v>
      </c>
      <c r="I660" s="19">
        <f>SUM(F660:H660)</f>
        <v>391992.18000000005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266879.21999999997</v>
      </c>
      <c r="G661" s="19">
        <f>(L225+L305)-(J225+J305)</f>
        <v>164391.44</v>
      </c>
      <c r="H661" s="19">
        <f>(L243+L324)-(J243+J324)</f>
        <v>254328.05</v>
      </c>
      <c r="I661" s="19">
        <f>SUM(F661:H661)</f>
        <v>685598.71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205149.40769999998</v>
      </c>
      <c r="G662" s="199">
        <f>SUM(G574:G586)+SUM(I601:I603)+L611</f>
        <v>238474.5919</v>
      </c>
      <c r="H662" s="199">
        <f>SUM(H574:H586)+SUM(J601:J603)+L612</f>
        <v>446910.81920000003</v>
      </c>
      <c r="I662" s="19">
        <f>SUM(F662:H662)</f>
        <v>890534.81880000001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11829385.049140388</v>
      </c>
      <c r="G663" s="19">
        <f>G659-SUM(G660:G662)</f>
        <v>7023285.3171385536</v>
      </c>
      <c r="H663" s="19">
        <f>H659-SUM(H660:H662)</f>
        <v>10700654.594921056</v>
      </c>
      <c r="I663" s="19">
        <f>I659-SUM(I660:I662)</f>
        <v>29553324.961199999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936.77</v>
      </c>
      <c r="G664" s="248">
        <v>472.11</v>
      </c>
      <c r="H664" s="248">
        <v>593.12</v>
      </c>
      <c r="I664" s="19">
        <f>SUM(F664:H664)</f>
        <v>2002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12627.84</v>
      </c>
      <c r="G666" s="19">
        <f>ROUND(G663/G664,2)</f>
        <v>14876.37</v>
      </c>
      <c r="H666" s="19">
        <f>ROUND(H663/H664,2)</f>
        <v>18041.3</v>
      </c>
      <c r="I666" s="19">
        <f>ROUND(I663/I664,2)</f>
        <v>14761.9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54.66</v>
      </c>
      <c r="I669" s="19">
        <f>SUM(F669:H669)</f>
        <v>54.66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12627.84</v>
      </c>
      <c r="G671" s="19">
        <f>ROUND((G663+G668)/(G664+G669),2)</f>
        <v>14876.37</v>
      </c>
      <c r="H671" s="19">
        <f>ROUND((H663+H668)/(H664+H669),2)</f>
        <v>16518.96</v>
      </c>
      <c r="I671" s="19">
        <f>ROUND((I663+I668)/(I664+I669),2)</f>
        <v>14369.57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G48" sqref="G4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Laconia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7747925.2799999993</v>
      </c>
      <c r="C9" s="229">
        <f>'DOE25'!G196+'DOE25'!G214+'DOE25'!G232+'DOE25'!G275+'DOE25'!G294+'DOE25'!G313</f>
        <v>4080028.7300000004</v>
      </c>
    </row>
    <row r="10" spans="1:3" x14ac:dyDescent="0.2">
      <c r="A10" t="s">
        <v>779</v>
      </c>
      <c r="B10" s="240">
        <f>6678307.06+634856.05+83988-0.02</f>
        <v>7397151.0899999999</v>
      </c>
      <c r="C10" s="240">
        <f>C9-(C11+C12)</f>
        <v>3901133.8931000005</v>
      </c>
    </row>
    <row r="11" spans="1:3" x14ac:dyDescent="0.2">
      <c r="A11" t="s">
        <v>780</v>
      </c>
      <c r="B11" s="240">
        <f>64125.6+16694.5</f>
        <v>80820.100000000006</v>
      </c>
      <c r="C11" s="240">
        <f>B11*0.51</f>
        <v>41218.251000000004</v>
      </c>
    </row>
    <row r="12" spans="1:3" x14ac:dyDescent="0.2">
      <c r="A12" t="s">
        <v>781</v>
      </c>
      <c r="B12" s="240">
        <f>65570.41+204383.68</f>
        <v>269954.08999999997</v>
      </c>
      <c r="C12" s="240">
        <f>B12*0.51</f>
        <v>137676.58589999998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7747925.2799999993</v>
      </c>
      <c r="C13" s="231">
        <f>SUM(C10:C12)</f>
        <v>4080028.7300000004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2963235.32</v>
      </c>
      <c r="C18" s="229">
        <f>'DOE25'!G197+'DOE25'!G215+'DOE25'!G233+'DOE25'!G276+'DOE25'!G295+'DOE25'!G314</f>
        <v>1539619.13</v>
      </c>
    </row>
    <row r="19" spans="1:3" x14ac:dyDescent="0.2">
      <c r="A19" t="s">
        <v>779</v>
      </c>
      <c r="B19" s="240">
        <f>1371963.65+393209.63+56610</f>
        <v>1821783.2799999998</v>
      </c>
      <c r="C19" s="240">
        <f>C18-(C20+C21)</f>
        <v>957478.58959999995</v>
      </c>
    </row>
    <row r="20" spans="1:3" x14ac:dyDescent="0.2">
      <c r="A20" t="s">
        <v>780</v>
      </c>
      <c r="B20" s="240">
        <f>866844.47+1742.63+6428.94</f>
        <v>875016.03999999992</v>
      </c>
      <c r="C20" s="240">
        <f>B20*0.51</f>
        <v>446258.18039999995</v>
      </c>
    </row>
    <row r="21" spans="1:3" x14ac:dyDescent="0.2">
      <c r="A21" t="s">
        <v>781</v>
      </c>
      <c r="B21" s="240">
        <f>266436</f>
        <v>266436</v>
      </c>
      <c r="C21" s="240">
        <f>B21*0.51</f>
        <v>135882.36000000002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2963235.32</v>
      </c>
      <c r="C22" s="231">
        <f>SUM(C19:C21)</f>
        <v>1539619.1300000001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1025123.27</v>
      </c>
      <c r="C27" s="234">
        <f>'DOE25'!G198+'DOE25'!G216+'DOE25'!G234+'DOE25'!G277+'DOE25'!G296+'DOE25'!G315</f>
        <v>510817.37</v>
      </c>
    </row>
    <row r="28" spans="1:3" x14ac:dyDescent="0.2">
      <c r="A28" t="s">
        <v>779</v>
      </c>
      <c r="B28" s="240">
        <f>638760.81+31535+122507.16</f>
        <v>792802.97000000009</v>
      </c>
      <c r="C28" s="240">
        <f>C27-(C29+C30)</f>
        <v>392334.01699999999</v>
      </c>
    </row>
    <row r="29" spans="1:3" x14ac:dyDescent="0.2">
      <c r="A29" t="s">
        <v>780</v>
      </c>
      <c r="B29" s="240"/>
      <c r="C29" s="240">
        <f>B29*0.51</f>
        <v>0</v>
      </c>
    </row>
    <row r="30" spans="1:3" x14ac:dyDescent="0.2">
      <c r="A30" t="s">
        <v>781</v>
      </c>
      <c r="B30" s="240">
        <f>232320.3</f>
        <v>232320.3</v>
      </c>
      <c r="C30" s="240">
        <f>B30*0.51</f>
        <v>118483.353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1025123.27</v>
      </c>
      <c r="C31" s="231">
        <f>SUM(C28:C30)</f>
        <v>510817.37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520352.54</v>
      </c>
      <c r="C36" s="235">
        <f>'DOE25'!G199+'DOE25'!G217+'DOE25'!G235+'DOE25'!G278+'DOE25'!G297+'DOE25'!G316</f>
        <v>135715.70000000001</v>
      </c>
    </row>
    <row r="37" spans="1:3" x14ac:dyDescent="0.2">
      <c r="A37" t="s">
        <v>779</v>
      </c>
      <c r="B37" s="240">
        <f>208912.54+311440</f>
        <v>520352.54000000004</v>
      </c>
      <c r="C37" s="240">
        <f>C36-(C38+C39)</f>
        <v>135715.70000000001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520352.54000000004</v>
      </c>
      <c r="C40" s="231">
        <f>SUM(C37:C39)</f>
        <v>135715.70000000001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Laconia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18135032.439999998</v>
      </c>
      <c r="D5" s="20">
        <f>SUM('DOE25'!L196:L199)+SUM('DOE25'!L214:L217)+SUM('DOE25'!L232:L235)-F5-G5</f>
        <v>18086006.089999996</v>
      </c>
      <c r="E5" s="243"/>
      <c r="F5" s="255">
        <f>SUM('DOE25'!J196:J199)+SUM('DOE25'!J214:J217)+SUM('DOE25'!J232:J235)</f>
        <v>46614.350000000006</v>
      </c>
      <c r="G5" s="53">
        <f>SUM('DOE25'!K196:K199)+SUM('DOE25'!K214:K217)+SUM('DOE25'!K232:K235)</f>
        <v>2412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1807481.63</v>
      </c>
      <c r="D6" s="20">
        <f>'DOE25'!L201+'DOE25'!L219+'DOE25'!L237-F6-G6</f>
        <v>1807361.63</v>
      </c>
      <c r="E6" s="243"/>
      <c r="F6" s="255">
        <f>'DOE25'!J201+'DOE25'!J219+'DOE25'!J237</f>
        <v>0</v>
      </c>
      <c r="G6" s="53">
        <f>'DOE25'!K201+'DOE25'!K219+'DOE25'!K237</f>
        <v>120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1050581.55</v>
      </c>
      <c r="D7" s="20">
        <f>'DOE25'!L202+'DOE25'!L220+'DOE25'!L238-F7-G7</f>
        <v>1009832.02</v>
      </c>
      <c r="E7" s="243"/>
      <c r="F7" s="255">
        <f>'DOE25'!J202+'DOE25'!J220+'DOE25'!J238</f>
        <v>40749.53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575224</v>
      </c>
      <c r="D8" s="243"/>
      <c r="E8" s="20">
        <f>'DOE25'!L203+'DOE25'!L221+'DOE25'!L239-F8-G8-D9-D11</f>
        <v>538759.26</v>
      </c>
      <c r="F8" s="255">
        <f>'DOE25'!J203+'DOE25'!J221+'DOE25'!J239</f>
        <v>0</v>
      </c>
      <c r="G8" s="53">
        <f>'DOE25'!K203+'DOE25'!K221+'DOE25'!K239</f>
        <v>36464.74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35221.39</v>
      </c>
      <c r="D9" s="244">
        <v>35221.39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20000</v>
      </c>
      <c r="D10" s="243"/>
      <c r="E10" s="244">
        <v>20000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364941.92</v>
      </c>
      <c r="D11" s="244">
        <f>266732.92+96709+1500</f>
        <v>364941.92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1613928.81</v>
      </c>
      <c r="D12" s="20">
        <f>'DOE25'!L204+'DOE25'!L222+'DOE25'!L240-F12-G12</f>
        <v>1601779.69</v>
      </c>
      <c r="E12" s="243"/>
      <c r="F12" s="255">
        <f>'DOE25'!J204+'DOE25'!J222+'DOE25'!J240</f>
        <v>0</v>
      </c>
      <c r="G12" s="53">
        <f>'DOE25'!K204+'DOE25'!K222+'DOE25'!K240</f>
        <v>12149.119999999999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436946.89</v>
      </c>
      <c r="D13" s="243"/>
      <c r="E13" s="20">
        <f>'DOE25'!L205+'DOE25'!L223+'DOE25'!L241-F13-G13</f>
        <v>435446.89</v>
      </c>
      <c r="F13" s="255">
        <f>'DOE25'!J205+'DOE25'!J223+'DOE25'!J241</f>
        <v>1500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2570428.59</v>
      </c>
      <c r="D14" s="20">
        <f>'DOE25'!L206+'DOE25'!L224+'DOE25'!L242-F14-G14</f>
        <v>2559902.0999999996</v>
      </c>
      <c r="E14" s="243"/>
      <c r="F14" s="255">
        <f>'DOE25'!J206+'DOE25'!J224+'DOE25'!J242</f>
        <v>10526.49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662384.96</v>
      </c>
      <c r="D15" s="20">
        <f>'DOE25'!L207+'DOE25'!L225+'DOE25'!L243-F15-G15</f>
        <v>662384.96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238894.25</v>
      </c>
      <c r="D17" s="20">
        <f>'DOE25'!L250-F17-G17</f>
        <v>232027.25</v>
      </c>
      <c r="E17" s="243"/>
      <c r="F17" s="255">
        <f>'DOE25'!J250</f>
        <v>4000</v>
      </c>
      <c r="G17" s="53">
        <f>'DOE25'!K250</f>
        <v>2867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24126</v>
      </c>
      <c r="D22" s="243"/>
      <c r="E22" s="243"/>
      <c r="F22" s="255">
        <f>'DOE25'!L254+'DOE25'!L335</f>
        <v>24126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2356700</v>
      </c>
      <c r="D25" s="243"/>
      <c r="E25" s="243"/>
      <c r="F25" s="258"/>
      <c r="G25" s="256"/>
      <c r="H25" s="257">
        <f>'DOE25'!L259+'DOE25'!L260+'DOE25'!L340+'DOE25'!L341</f>
        <v>2356700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585032.55000000005</v>
      </c>
      <c r="D29" s="20">
        <f>'DOE25'!L357+'DOE25'!L358+'DOE25'!L359-'DOE25'!I366-F29-G29</f>
        <v>574309.63</v>
      </c>
      <c r="E29" s="243"/>
      <c r="F29" s="255">
        <f>'DOE25'!J357+'DOE25'!J358+'DOE25'!J359</f>
        <v>10722.920000000002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3316346.0799999996</v>
      </c>
      <c r="D31" s="20">
        <f>'DOE25'!L289+'DOE25'!L308+'DOE25'!L327+'DOE25'!L332+'DOE25'!L333+'DOE25'!L334-F31-G31</f>
        <v>3252043.32</v>
      </c>
      <c r="E31" s="243"/>
      <c r="F31" s="255">
        <f>'DOE25'!J289+'DOE25'!J308+'DOE25'!J327+'DOE25'!J332+'DOE25'!J333+'DOE25'!J334</f>
        <v>57262.65</v>
      </c>
      <c r="G31" s="53">
        <f>'DOE25'!K289+'DOE25'!K308+'DOE25'!K327+'DOE25'!K332+'DOE25'!K333+'DOE25'!K334</f>
        <v>7040.1100000000006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30185809.999999996</v>
      </c>
      <c r="E33" s="246">
        <f>SUM(E5:E31)</f>
        <v>994206.15</v>
      </c>
      <c r="F33" s="246">
        <f>SUM(F5:F31)</f>
        <v>195501.94</v>
      </c>
      <c r="G33" s="246">
        <f>SUM(G5:G31)</f>
        <v>61052.97</v>
      </c>
      <c r="H33" s="246">
        <f>SUM(H5:H31)</f>
        <v>2356700</v>
      </c>
    </row>
    <row r="35" spans="2:8" ht="12" thickBot="1" x14ac:dyDescent="0.25">
      <c r="B35" s="253" t="s">
        <v>847</v>
      </c>
      <c r="D35" s="254">
        <f>E33</f>
        <v>994206.15</v>
      </c>
      <c r="E35" s="249"/>
    </row>
    <row r="36" spans="2:8" ht="12" thickTop="1" x14ac:dyDescent="0.2">
      <c r="B36" t="s">
        <v>815</v>
      </c>
      <c r="D36" s="20">
        <f>D33</f>
        <v>30185809.999999996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5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Laconia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200</v>
      </c>
      <c r="D8" s="95">
        <f>'DOE25'!G9</f>
        <v>1850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509361.77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255779.02</v>
      </c>
      <c r="D12" s="95">
        <f>'DOE25'!G13</f>
        <v>141182.64000000001</v>
      </c>
      <c r="E12" s="95">
        <f>'DOE25'!H13</f>
        <v>777641.53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30055.75</v>
      </c>
      <c r="D13" s="95">
        <f>'DOE25'!G14</f>
        <v>1272.73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30942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47075.98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10550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853022.52</v>
      </c>
      <c r="D18" s="41">
        <f>SUM(D8:D17)</f>
        <v>175247.37000000002</v>
      </c>
      <c r="E18" s="41">
        <f>SUM(E8:E17)</f>
        <v>777641.53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-831475.41</v>
      </c>
      <c r="D21" s="95">
        <f>'DOE25'!G22</f>
        <v>151877.75</v>
      </c>
      <c r="E21" s="95">
        <f>'DOE25'!H22</f>
        <v>679597.66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1350543.4</v>
      </c>
      <c r="D23" s="95">
        <f>'DOE25'!G24</f>
        <v>9144.69</v>
      </c>
      <c r="E23" s="95">
        <f>'DOE25'!H24</f>
        <v>49557.09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53827.85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214.9</v>
      </c>
      <c r="D29" s="95">
        <f>'DOE25'!G30</f>
        <v>4636.47</v>
      </c>
      <c r="E29" s="95">
        <f>'DOE25'!H30</f>
        <v>48486.78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279911.78000000003</v>
      </c>
      <c r="D30" s="95">
        <f>'DOE25'!G31</f>
        <v>9588.4599999999991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853022.5199999999</v>
      </c>
      <c r="D31" s="41">
        <f>SUM(D21:D30)</f>
        <v>175247.37</v>
      </c>
      <c r="E31" s="41">
        <f>SUM(E21:E30)</f>
        <v>777641.53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0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853022.5199999999</v>
      </c>
      <c r="D50" s="41">
        <f>D49+D31</f>
        <v>175247.37</v>
      </c>
      <c r="E50" s="41">
        <f>E49+E31</f>
        <v>777641.53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16262495.35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431030.53</v>
      </c>
      <c r="D56" s="24" t="s">
        <v>289</v>
      </c>
      <c r="E56" s="95">
        <f>'DOE25'!H78</f>
        <v>163047.01999999999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390278.65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24391.57</v>
      </c>
      <c r="D60" s="95">
        <f>SUM('DOE25'!G97:G109)</f>
        <v>1713.53</v>
      </c>
      <c r="E60" s="95">
        <f>SUM('DOE25'!H97:H109)</f>
        <v>169297.37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455422.10000000003</v>
      </c>
      <c r="D61" s="130">
        <f>SUM(D56:D60)</f>
        <v>391992.18000000005</v>
      </c>
      <c r="E61" s="130">
        <f>SUM(E56:E60)</f>
        <v>332344.39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16717917.449999999</v>
      </c>
      <c r="D62" s="22">
        <f>D55+D61</f>
        <v>391992.18000000005</v>
      </c>
      <c r="E62" s="22">
        <f>E55+E61</f>
        <v>332344.39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6460883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4746462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25604.89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11207345</v>
      </c>
      <c r="D69" s="139">
        <f>D68</f>
        <v>25604.89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703483.36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44156.23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906594.34</v>
      </c>
      <c r="D75" s="24" t="s">
        <v>289</v>
      </c>
      <c r="E75" s="95">
        <f>SUM('DOE25'!H126:H129)</f>
        <v>51802.559999999998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36178.89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1654233.93</v>
      </c>
      <c r="D77" s="130">
        <f>SUM(D71:D76)</f>
        <v>36178.89</v>
      </c>
      <c r="E77" s="130">
        <f>SUM(E71:E76)</f>
        <v>51802.559999999998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12861578.93</v>
      </c>
      <c r="D80" s="130">
        <f>SUM(D78:D79)+D77+D69</f>
        <v>61783.78</v>
      </c>
      <c r="E80" s="130">
        <f>SUM(E78:E79)+E77+E69</f>
        <v>51802.559999999998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622600.51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442396.05</v>
      </c>
      <c r="D87" s="95">
        <f>SUM('DOE25'!G152:G160)</f>
        <v>690950.03</v>
      </c>
      <c r="E87" s="95">
        <f>SUM('DOE25'!H152:H160)</f>
        <v>2309427.38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442396.05</v>
      </c>
      <c r="D90" s="131">
        <f>SUM(D84:D89)</f>
        <v>690950.03</v>
      </c>
      <c r="E90" s="131">
        <f>SUM(E84:E89)</f>
        <v>2932027.8899999997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150000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1153.29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151153.29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30021892.43</v>
      </c>
      <c r="D103" s="86">
        <f>D62+D80+D90+D102</f>
        <v>1144725.9900000002</v>
      </c>
      <c r="E103" s="86">
        <f>E62+E80+E90+E102</f>
        <v>3467328.13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11092374.979999999</v>
      </c>
      <c r="D108" s="24" t="s">
        <v>289</v>
      </c>
      <c r="E108" s="95">
        <f>('DOE25'!L275)+('DOE25'!L294)+('DOE25'!L313)</f>
        <v>1532087.61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5169918.18</v>
      </c>
      <c r="D109" s="24" t="s">
        <v>289</v>
      </c>
      <c r="E109" s="95">
        <f>('DOE25'!L276)+('DOE25'!L295)+('DOE25'!L314)</f>
        <v>560763.6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1448937.8199999998</v>
      </c>
      <c r="D110" s="24" t="s">
        <v>289</v>
      </c>
      <c r="E110" s="95">
        <f>('DOE25'!L277)+('DOE25'!L296)+('DOE25'!L315)</f>
        <v>262533.19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423801.45999999996</v>
      </c>
      <c r="D111" s="24" t="s">
        <v>289</v>
      </c>
      <c r="E111" s="95">
        <f>+('DOE25'!L278)+('DOE25'!L297)+('DOE25'!L316)</f>
        <v>406794.87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238894.25</v>
      </c>
      <c r="D113" s="24" t="s">
        <v>289</v>
      </c>
      <c r="E113" s="95">
        <f>+ SUM('DOE25'!L332:L334)</f>
        <v>191793.58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18373926.689999998</v>
      </c>
      <c r="D114" s="86">
        <f>SUM(D108:D113)</f>
        <v>0</v>
      </c>
      <c r="E114" s="86">
        <f>SUM(E108:E113)</f>
        <v>2953972.85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1807481.63</v>
      </c>
      <c r="D117" s="24" t="s">
        <v>289</v>
      </c>
      <c r="E117" s="95">
        <f>+('DOE25'!L280)+('DOE25'!L299)+('DOE25'!L318)</f>
        <v>44987.360000000001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1050581.55</v>
      </c>
      <c r="D118" s="24" t="s">
        <v>289</v>
      </c>
      <c r="E118" s="95">
        <f>+('DOE25'!L281)+('DOE25'!L300)+('DOE25'!L319)</f>
        <v>244893.83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975387.30999999994</v>
      </c>
      <c r="D119" s="24" t="s">
        <v>289</v>
      </c>
      <c r="E119" s="95">
        <f>+('DOE25'!L282)+('DOE25'!L301)+('DOE25'!L320)</f>
        <v>443.03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1613928.81</v>
      </c>
      <c r="D120" s="24" t="s">
        <v>289</v>
      </c>
      <c r="E120" s="95">
        <f>+('DOE25'!L283)+('DOE25'!L302)+('DOE25'!L321)</f>
        <v>24.25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436946.89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2570428.59</v>
      </c>
      <c r="D122" s="24" t="s">
        <v>289</v>
      </c>
      <c r="E122" s="95">
        <f>+('DOE25'!L285)+('DOE25'!L304)+('DOE25'!L323)</f>
        <v>48811.01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662384.96</v>
      </c>
      <c r="D123" s="24" t="s">
        <v>289</v>
      </c>
      <c r="E123" s="95">
        <f>+('DOE25'!L286)+('DOE25'!L305)+('DOE25'!L324)</f>
        <v>23213.75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1144725.99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9117139.7399999984</v>
      </c>
      <c r="D127" s="86">
        <f>SUM(D117:D126)</f>
        <v>1144725.99</v>
      </c>
      <c r="E127" s="86">
        <f>SUM(E117:E126)</f>
        <v>362373.23000000004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24126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1802095.82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554604.18000000005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150000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150000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982.05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2530826</v>
      </c>
      <c r="D143" s="141">
        <f>SUM(D129:D142)</f>
        <v>0</v>
      </c>
      <c r="E143" s="141">
        <f>SUM(E129:E142)</f>
        <v>150982.04999999999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30021892.429999996</v>
      </c>
      <c r="D144" s="86">
        <f>(D114+D127+D143)</f>
        <v>1144725.99</v>
      </c>
      <c r="E144" s="86">
        <f>(E114+E127+E143)</f>
        <v>3467328.13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Laconia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12628</v>
      </c>
    </row>
    <row r="5" spans="1:4" x14ac:dyDescent="0.2">
      <c r="B5" t="s">
        <v>704</v>
      </c>
      <c r="C5" s="179">
        <f>IF('DOE25'!G664+'DOE25'!G669=0,0,ROUND('DOE25'!G671,0))</f>
        <v>14876</v>
      </c>
    </row>
    <row r="6" spans="1:4" x14ac:dyDescent="0.2">
      <c r="B6" t="s">
        <v>62</v>
      </c>
      <c r="C6" s="179">
        <f>IF('DOE25'!H664+'DOE25'!H669=0,0,ROUND('DOE25'!H671,0))</f>
        <v>16519</v>
      </c>
    </row>
    <row r="7" spans="1:4" x14ac:dyDescent="0.2">
      <c r="B7" t="s">
        <v>705</v>
      </c>
      <c r="C7" s="179">
        <f>IF('DOE25'!I664+'DOE25'!I669=0,0,ROUND('DOE25'!I671,0))</f>
        <v>14370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12624463</v>
      </c>
      <c r="D10" s="182">
        <f>ROUND((C10/$C$28)*100,1)</f>
        <v>39.299999999999997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5730682</v>
      </c>
      <c r="D11" s="182">
        <f>ROUND((C11/$C$28)*100,1)</f>
        <v>17.8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1711471</v>
      </c>
      <c r="D12" s="182">
        <f>ROUND((C12/$C$28)*100,1)</f>
        <v>5.3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830596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1852469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1295475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975830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1613953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436947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2619240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685599</v>
      </c>
      <c r="D21" s="182">
        <f t="shared" si="0"/>
        <v>2.1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430688</v>
      </c>
      <c r="D24" s="182">
        <f t="shared" si="0"/>
        <v>1.3</v>
      </c>
    </row>
    <row r="25" spans="1:4" x14ac:dyDescent="0.2">
      <c r="A25">
        <v>5120</v>
      </c>
      <c r="B25" t="s">
        <v>720</v>
      </c>
      <c r="C25" s="179">
        <f>ROUND('DOE25'!L260+'DOE25'!L341,0)</f>
        <v>554604</v>
      </c>
      <c r="D25" s="182">
        <f t="shared" si="0"/>
        <v>1.7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982.05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752733.82</v>
      </c>
      <c r="D27" s="182">
        <f t="shared" si="0"/>
        <v>2.2999999999999998</v>
      </c>
    </row>
    <row r="28" spans="1:4" x14ac:dyDescent="0.2">
      <c r="B28" s="187" t="s">
        <v>723</v>
      </c>
      <c r="C28" s="180">
        <f>SUM(C10:C27)</f>
        <v>32115732.870000001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24126</v>
      </c>
    </row>
    <row r="30" spans="1:4" x14ac:dyDescent="0.2">
      <c r="B30" s="187" t="s">
        <v>729</v>
      </c>
      <c r="C30" s="180">
        <f>SUM(C28:C29)</f>
        <v>32139858.870000001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1802096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16262495</v>
      </c>
      <c r="D35" s="182">
        <f t="shared" ref="D35:D40" si="1">ROUND((C35/$C$41)*100,1)</f>
        <v>47.7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787766.83999999985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11207345</v>
      </c>
      <c r="D37" s="182">
        <f t="shared" si="1"/>
        <v>32.9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1767820</v>
      </c>
      <c r="D38" s="182">
        <f t="shared" si="1"/>
        <v>5.2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4065374</v>
      </c>
      <c r="D39" s="182">
        <f t="shared" si="1"/>
        <v>11.9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34090800.840000004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89" t="str">
        <f>'DOE25'!A2</f>
        <v>Laconia School District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B0A" sheet="1" objects="1" scenarios="1"/>
  <mergeCells count="223"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AP31:AZ31"/>
    <mergeCell ref="AP32:AZ32"/>
    <mergeCell ref="P30:Z30"/>
    <mergeCell ref="AC30:AM30"/>
    <mergeCell ref="AP30:AZ30"/>
    <mergeCell ref="C20:M20"/>
    <mergeCell ref="DC29:DM29"/>
    <mergeCell ref="BC29:BM29"/>
    <mergeCell ref="BP29:BZ29"/>
    <mergeCell ref="CC29:CM29"/>
    <mergeCell ref="AP29:AZ29"/>
    <mergeCell ref="CC30:CM30"/>
    <mergeCell ref="BC30:BM30"/>
    <mergeCell ref="BP30:BZ30"/>
    <mergeCell ref="DC30:DM30"/>
    <mergeCell ref="C21:M21"/>
    <mergeCell ref="C22:M22"/>
    <mergeCell ref="C23:M23"/>
    <mergeCell ref="C24:M24"/>
    <mergeCell ref="C29:M29"/>
    <mergeCell ref="C25:M25"/>
    <mergeCell ref="C26:M26"/>
    <mergeCell ref="C27:M27"/>
    <mergeCell ref="P29:Z29"/>
    <mergeCell ref="C17:M17"/>
    <mergeCell ref="C18:M18"/>
    <mergeCell ref="C19:M19"/>
    <mergeCell ref="C7:M7"/>
    <mergeCell ref="C8:M8"/>
    <mergeCell ref="C13:M13"/>
    <mergeCell ref="C9:M9"/>
    <mergeCell ref="C10:M10"/>
    <mergeCell ref="C11:M11"/>
    <mergeCell ref="C12:M12"/>
    <mergeCell ref="A1:I1"/>
    <mergeCell ref="C3:M3"/>
    <mergeCell ref="C4:M4"/>
    <mergeCell ref="F2:I2"/>
    <mergeCell ref="C33:M33"/>
    <mergeCell ref="C37:M37"/>
    <mergeCell ref="P32:Z32"/>
    <mergeCell ref="AC32:AM32"/>
    <mergeCell ref="C34:M34"/>
    <mergeCell ref="C32:M32"/>
    <mergeCell ref="C35:M35"/>
    <mergeCell ref="C36:M36"/>
    <mergeCell ref="AC29:AM29"/>
    <mergeCell ref="C28:M28"/>
    <mergeCell ref="A2:E2"/>
    <mergeCell ref="C5:M5"/>
    <mergeCell ref="C6:M6"/>
    <mergeCell ref="C30:M30"/>
    <mergeCell ref="C31:M31"/>
    <mergeCell ref="P31:Z31"/>
    <mergeCell ref="AC31:AM31"/>
    <mergeCell ref="C14:M14"/>
    <mergeCell ref="C15:M15"/>
    <mergeCell ref="C16:M16"/>
    <mergeCell ref="C38:M38"/>
    <mergeCell ref="CP30:CZ30"/>
    <mergeCell ref="EC29:EM29"/>
    <mergeCell ref="EP29:EZ29"/>
    <mergeCell ref="FC29:FM29"/>
    <mergeCell ref="CP29:CZ29"/>
    <mergeCell ref="IC30:IM30"/>
    <mergeCell ref="EP31:EZ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29:DZ29"/>
    <mergeCell ref="DP30:DZ30"/>
    <mergeCell ref="BC31:BM31"/>
    <mergeCell ref="BC32:BM32"/>
    <mergeCell ref="EC30:EM30"/>
    <mergeCell ref="EP30:EZ30"/>
    <mergeCell ref="DC38:DM38"/>
    <mergeCell ref="DP38:DZ38"/>
    <mergeCell ref="EC38:EM38"/>
    <mergeCell ref="BC39:BM39"/>
    <mergeCell ref="BP31:BZ31"/>
    <mergeCell ref="CC31:CM31"/>
    <mergeCell ref="DC32:DM32"/>
    <mergeCell ref="BP32:BZ32"/>
    <mergeCell ref="CP31:CZ31"/>
    <mergeCell ref="CC32:CM32"/>
    <mergeCell ref="DC39:DM39"/>
    <mergeCell ref="CP32:CZ32"/>
    <mergeCell ref="DC31:DM31"/>
    <mergeCell ref="DP31:DZ31"/>
    <mergeCell ref="EC31:EM31"/>
    <mergeCell ref="HP32:HZ32"/>
    <mergeCell ref="IC32:IM32"/>
    <mergeCell ref="IP32:IV32"/>
    <mergeCell ref="EP38:EZ38"/>
    <mergeCell ref="FC38:FM38"/>
    <mergeCell ref="FP38:FZ38"/>
    <mergeCell ref="HC32:HM32"/>
    <mergeCell ref="HP31:HZ31"/>
    <mergeCell ref="GP32:GZ32"/>
    <mergeCell ref="IC31:IM31"/>
    <mergeCell ref="IP31:IV31"/>
    <mergeCell ref="DP32:DZ32"/>
    <mergeCell ref="EC32:EM32"/>
    <mergeCell ref="EP32:EZ32"/>
    <mergeCell ref="FC32:FM32"/>
    <mergeCell ref="FP32:FZ32"/>
    <mergeCell ref="GC32:GM32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IP39:IV39"/>
    <mergeCell ref="EP39:EZ39"/>
    <mergeCell ref="FC39:FM39"/>
    <mergeCell ref="FP39:FZ39"/>
    <mergeCell ref="GP39:GZ39"/>
    <mergeCell ref="HP39:HZ39"/>
    <mergeCell ref="IC39:IM39"/>
    <mergeCell ref="P38:Z38"/>
    <mergeCell ref="AC38:AM38"/>
    <mergeCell ref="AP38:AZ38"/>
    <mergeCell ref="HP38:HZ38"/>
    <mergeCell ref="GC38:GM38"/>
    <mergeCell ref="GP38:GZ38"/>
    <mergeCell ref="HC38:HM38"/>
    <mergeCell ref="IC38:IM38"/>
    <mergeCell ref="AC39:AM39"/>
    <mergeCell ref="IP38:IV38"/>
    <mergeCell ref="CP38:CZ38"/>
    <mergeCell ref="BC38:BM38"/>
    <mergeCell ref="BP38:BZ38"/>
    <mergeCell ref="CC38:CM38"/>
    <mergeCell ref="AP39:AZ39"/>
    <mergeCell ref="HC39:HM39"/>
    <mergeCell ref="EC39:EM39"/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AP40:AZ40"/>
    <mergeCell ref="C43:M43"/>
    <mergeCell ref="BC40:BM40"/>
    <mergeCell ref="GC39:GM39"/>
    <mergeCell ref="BP39:BZ39"/>
    <mergeCell ref="CC39:CM39"/>
    <mergeCell ref="CP39:CZ39"/>
    <mergeCell ref="P39:Z39"/>
    <mergeCell ref="DP39:DZ39"/>
    <mergeCell ref="EC40:EM40"/>
    <mergeCell ref="C41:M41"/>
    <mergeCell ref="C39:M39"/>
    <mergeCell ref="C40:M40"/>
    <mergeCell ref="BP40:BZ40"/>
    <mergeCell ref="CC40:CM40"/>
    <mergeCell ref="IP40:IV40"/>
    <mergeCell ref="C45:M45"/>
    <mergeCell ref="DC40:DM40"/>
    <mergeCell ref="EP40:EZ40"/>
    <mergeCell ref="C44:M44"/>
    <mergeCell ref="DP40:DZ40"/>
    <mergeCell ref="IC40:IM40"/>
    <mergeCell ref="CP40:CZ40"/>
    <mergeCell ref="P40:Z40"/>
    <mergeCell ref="HP40:H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2013-11-12T13:12:50Z</cp:lastPrinted>
  <dcterms:created xsi:type="dcterms:W3CDTF">1997-12-04T19:04:30Z</dcterms:created>
  <dcterms:modified xsi:type="dcterms:W3CDTF">2013-12-05T18:47:14Z</dcterms:modified>
</cp:coreProperties>
</file>