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233" i="1" l="1"/>
  <c r="H215" i="1"/>
  <c r="H197" i="1"/>
  <c r="I522" i="1"/>
  <c r="I521" i="1"/>
  <c r="I520" i="1"/>
  <c r="H522" i="1"/>
  <c r="H521" i="1"/>
  <c r="H520" i="1"/>
  <c r="J522" i="1"/>
  <c r="F522" i="1"/>
  <c r="J521" i="1"/>
  <c r="G521" i="1"/>
  <c r="F521" i="1"/>
  <c r="J520" i="1"/>
  <c r="F520" i="1"/>
  <c r="H239" i="1"/>
  <c r="H221" i="1"/>
  <c r="H203" i="1"/>
  <c r="F9" i="1"/>
  <c r="H24" i="1"/>
  <c r="B10" i="12"/>
  <c r="B12" i="12"/>
  <c r="G439" i="1"/>
  <c r="F22" i="1"/>
  <c r="K269" i="1"/>
  <c r="L197" i="1"/>
  <c r="L215" i="1"/>
  <c r="L233" i="1"/>
  <c r="J110" i="1"/>
  <c r="J182" i="1"/>
  <c r="J191" i="1" s="1"/>
  <c r="G110" i="1"/>
  <c r="G146" i="1"/>
  <c r="G161" i="1"/>
  <c r="G168" i="1" s="1"/>
  <c r="C39" i="10" s="1"/>
  <c r="G182" i="1"/>
  <c r="J603" i="1"/>
  <c r="H603" i="1"/>
  <c r="I603" i="1"/>
  <c r="I225" i="1"/>
  <c r="H207" i="1"/>
  <c r="H501" i="1"/>
  <c r="I501" i="1"/>
  <c r="I497" i="1"/>
  <c r="H497" i="1"/>
  <c r="F367" i="1"/>
  <c r="H367" i="1"/>
  <c r="G367" i="1"/>
  <c r="I359" i="1"/>
  <c r="H281" i="1"/>
  <c r="I319" i="1"/>
  <c r="I300" i="1"/>
  <c r="I281" i="1"/>
  <c r="H319" i="1"/>
  <c r="H300" i="1"/>
  <c r="J313" i="1"/>
  <c r="I313" i="1"/>
  <c r="I294" i="1"/>
  <c r="I275" i="1"/>
  <c r="H313" i="1"/>
  <c r="H275" i="1"/>
  <c r="F318" i="1"/>
  <c r="F281" i="1"/>
  <c r="H243" i="1"/>
  <c r="I243" i="1"/>
  <c r="G243" i="1"/>
  <c r="F243" i="1"/>
  <c r="H225" i="1"/>
  <c r="G225" i="1"/>
  <c r="F225" i="1"/>
  <c r="G207" i="1"/>
  <c r="H242" i="1"/>
  <c r="K239" i="1"/>
  <c r="J239" i="1"/>
  <c r="I239" i="1"/>
  <c r="G239" i="1"/>
  <c r="F239" i="1"/>
  <c r="F221" i="1"/>
  <c r="K221" i="1"/>
  <c r="I221" i="1"/>
  <c r="G221" i="1"/>
  <c r="G203" i="1"/>
  <c r="K203" i="1"/>
  <c r="J203" i="1"/>
  <c r="I203" i="1"/>
  <c r="F203" i="1"/>
  <c r="L203" i="1" s="1"/>
  <c r="I238" i="1"/>
  <c r="J238" i="1"/>
  <c r="H238" i="1"/>
  <c r="G238" i="1"/>
  <c r="F238" i="1"/>
  <c r="J220" i="1"/>
  <c r="H220" i="1"/>
  <c r="I220" i="1"/>
  <c r="G220" i="1"/>
  <c r="F220" i="1"/>
  <c r="G202" i="1"/>
  <c r="J202" i="1"/>
  <c r="I202" i="1"/>
  <c r="H202" i="1"/>
  <c r="F202" i="1"/>
  <c r="G201" i="1"/>
  <c r="K237" i="1"/>
  <c r="J237" i="1"/>
  <c r="I237" i="1"/>
  <c r="H237" i="1"/>
  <c r="G237" i="1"/>
  <c r="I219" i="1"/>
  <c r="H219" i="1"/>
  <c r="G219" i="1"/>
  <c r="I201" i="1"/>
  <c r="H201" i="1"/>
  <c r="F237" i="1"/>
  <c r="F219" i="1"/>
  <c r="F201" i="1"/>
  <c r="G235" i="1"/>
  <c r="F235" i="1"/>
  <c r="J590" i="1"/>
  <c r="I590" i="1"/>
  <c r="H590" i="1"/>
  <c r="J593" i="1"/>
  <c r="I593" i="1"/>
  <c r="J591" i="1"/>
  <c r="I591" i="1"/>
  <c r="H591" i="1"/>
  <c r="J594" i="1"/>
  <c r="I594" i="1"/>
  <c r="H594" i="1"/>
  <c r="F62" i="1"/>
  <c r="C37" i="10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8" i="1"/>
  <c r="L199" i="1"/>
  <c r="L214" i="1"/>
  <c r="L216" i="1"/>
  <c r="L217" i="1"/>
  <c r="L232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/>
  <c r="G47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J111" i="1" s="1"/>
  <c r="G58" i="2"/>
  <c r="G60" i="2"/>
  <c r="F2" i="11"/>
  <c r="L612" i="1"/>
  <c r="H662" i="1" s="1"/>
  <c r="L611" i="1"/>
  <c r="G662" i="1" s="1"/>
  <c r="L610" i="1"/>
  <c r="F662" i="1" s="1"/>
  <c r="I662" i="1" s="1"/>
  <c r="C40" i="10"/>
  <c r="F59" i="1"/>
  <c r="G59" i="1"/>
  <c r="G111" i="1" s="1"/>
  <c r="H59" i="1"/>
  <c r="I59" i="1"/>
  <c r="F78" i="1"/>
  <c r="F93" i="1"/>
  <c r="F110" i="1"/>
  <c r="H78" i="1"/>
  <c r="H93" i="1"/>
  <c r="H110" i="1"/>
  <c r="I110" i="1"/>
  <c r="F120" i="1"/>
  <c r="F135" i="1"/>
  <c r="G120" i="1"/>
  <c r="G135" i="1"/>
  <c r="H120" i="1"/>
  <c r="H135" i="1"/>
  <c r="I120" i="1"/>
  <c r="I135" i="1"/>
  <c r="J120" i="1"/>
  <c r="J135" i="1"/>
  <c r="F146" i="1"/>
  <c r="F161" i="1"/>
  <c r="H146" i="1"/>
  <c r="H161" i="1"/>
  <c r="I146" i="1"/>
  <c r="I161" i="1"/>
  <c r="C10" i="10"/>
  <c r="C11" i="10"/>
  <c r="C12" i="10"/>
  <c r="C13" i="10"/>
  <c r="C15" i="10"/>
  <c r="C18" i="10"/>
  <c r="C19" i="10"/>
  <c r="C20" i="10"/>
  <c r="C21" i="10"/>
  <c r="L249" i="1"/>
  <c r="L331" i="1"/>
  <c r="C23" i="10" s="1"/>
  <c r="L253" i="1"/>
  <c r="C25" i="10"/>
  <c r="L267" i="1"/>
  <c r="L268" i="1"/>
  <c r="L348" i="1"/>
  <c r="L349" i="1"/>
  <c r="I664" i="1"/>
  <c r="I669" i="1"/>
  <c r="F660" i="1"/>
  <c r="G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J269" i="1"/>
  <c r="I269" i="1"/>
  <c r="H269" i="1"/>
  <c r="G269" i="1"/>
  <c r="F269" i="1"/>
  <c r="L269" i="1" s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C10" i="2"/>
  <c r="C11" i="2"/>
  <c r="D11" i="2"/>
  <c r="E11" i="2"/>
  <c r="F11" i="2"/>
  <c r="I440" i="1"/>
  <c r="J12" i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/>
  <c r="C17" i="2"/>
  <c r="D17" i="2"/>
  <c r="E17" i="2"/>
  <c r="F17" i="2"/>
  <c r="I444" i="1"/>
  <c r="J18" i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G22" i="2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/>
  <c r="I456" i="1"/>
  <c r="J37" i="1"/>
  <c r="I458" i="1"/>
  <c r="J47" i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E80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D80" i="2" s="1"/>
  <c r="E76" i="2"/>
  <c r="F76" i="2"/>
  <c r="G76" i="2"/>
  <c r="G77" i="2" s="1"/>
  <c r="G80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/>
  <c r="H617" i="1" s="1"/>
  <c r="H50" i="1"/>
  <c r="I50" i="1"/>
  <c r="I51" i="1" s="1"/>
  <c r="H619" i="1" s="1"/>
  <c r="J619" i="1" s="1"/>
  <c r="F176" i="1"/>
  <c r="I176" i="1"/>
  <c r="F182" i="1"/>
  <c r="H182" i="1"/>
  <c r="I182" i="1"/>
  <c r="F187" i="1"/>
  <c r="G187" i="1"/>
  <c r="G191" i="1" s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/>
  <c r="F289" i="1"/>
  <c r="G289" i="1"/>
  <c r="H289" i="1"/>
  <c r="I289" i="1"/>
  <c r="F308" i="1"/>
  <c r="G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L336" i="1"/>
  <c r="K337" i="1"/>
  <c r="K351" i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/>
  <c r="I597" i="1"/>
  <c r="H649" i="1"/>
  <c r="J597" i="1"/>
  <c r="H650" i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G621" i="1"/>
  <c r="G622" i="1"/>
  <c r="G623" i="1"/>
  <c r="G624" i="1"/>
  <c r="G633" i="1"/>
  <c r="H633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G649" i="1"/>
  <c r="G650" i="1"/>
  <c r="G651" i="1"/>
  <c r="H651" i="1"/>
  <c r="G652" i="1"/>
  <c r="H652" i="1"/>
  <c r="G653" i="1"/>
  <c r="H653" i="1"/>
  <c r="H654" i="1"/>
  <c r="F191" i="1"/>
  <c r="L255" i="1"/>
  <c r="K256" i="1"/>
  <c r="K270" i="1" s="1"/>
  <c r="I256" i="1"/>
  <c r="I270" i="1" s="1"/>
  <c r="G256" i="1"/>
  <c r="G270" i="1" s="1"/>
  <c r="G159" i="2"/>
  <c r="C18" i="2"/>
  <c r="F31" i="2"/>
  <c r="C26" i="10"/>
  <c r="L327" i="1"/>
  <c r="L350" i="1"/>
  <c r="I661" i="1"/>
  <c r="L289" i="1"/>
  <c r="A31" i="12"/>
  <c r="C69" i="2"/>
  <c r="A40" i="12"/>
  <c r="D12" i="13"/>
  <c r="C12" i="13"/>
  <c r="G161" i="2"/>
  <c r="D61" i="2"/>
  <c r="D62" i="2" s="1"/>
  <c r="E49" i="2"/>
  <c r="D18" i="13"/>
  <c r="C18" i="13" s="1"/>
  <c r="D15" i="13"/>
  <c r="C15" i="13" s="1"/>
  <c r="D7" i="13"/>
  <c r="C7" i="13" s="1"/>
  <c r="F102" i="2"/>
  <c r="D18" i="2"/>
  <c r="E18" i="2"/>
  <c r="D17" i="13"/>
  <c r="C17" i="13" s="1"/>
  <c r="D6" i="13"/>
  <c r="C6" i="13" s="1"/>
  <c r="G158" i="2"/>
  <c r="C90" i="2"/>
  <c r="F77" i="2"/>
  <c r="F61" i="2"/>
  <c r="F62" i="2" s="1"/>
  <c r="D31" i="2"/>
  <c r="C77" i="2"/>
  <c r="C80" i="2"/>
  <c r="D49" i="2"/>
  <c r="G156" i="2"/>
  <c r="F49" i="2"/>
  <c r="F50" i="2"/>
  <c r="F18" i="2"/>
  <c r="G162" i="2"/>
  <c r="G157" i="2"/>
  <c r="G155" i="2"/>
  <c r="E143" i="2"/>
  <c r="E114" i="2"/>
  <c r="G102" i="2"/>
  <c r="E102" i="2"/>
  <c r="C102" i="2"/>
  <c r="D90" i="2"/>
  <c r="F90" i="2"/>
  <c r="E61" i="2"/>
  <c r="E62" i="2" s="1"/>
  <c r="E103" i="2" s="1"/>
  <c r="C61" i="2"/>
  <c r="C62" i="2" s="1"/>
  <c r="C103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E77" i="2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I168" i="1"/>
  <c r="H168" i="1"/>
  <c r="E50" i="2"/>
  <c r="J643" i="1"/>
  <c r="J642" i="1"/>
  <c r="G337" i="1"/>
  <c r="G351" i="1"/>
  <c r="F168" i="1"/>
  <c r="J139" i="1"/>
  <c r="F570" i="1"/>
  <c r="H256" i="1"/>
  <c r="H270" i="1" s="1"/>
  <c r="K597" i="1"/>
  <c r="G646" i="1" s="1"/>
  <c r="J646" i="1" s="1"/>
  <c r="K544" i="1"/>
  <c r="C29" i="10"/>
  <c r="I660" i="1"/>
  <c r="H139" i="1"/>
  <c r="L400" i="1"/>
  <c r="C138" i="2" s="1"/>
  <c r="L392" i="1"/>
  <c r="A13" i="12"/>
  <c r="F22" i="13"/>
  <c r="H25" i="13"/>
  <c r="C25" i="13" s="1"/>
  <c r="J650" i="1"/>
  <c r="J639" i="1"/>
  <c r="J633" i="1"/>
  <c r="H570" i="1"/>
  <c r="L559" i="1"/>
  <c r="L570" i="1" s="1"/>
  <c r="J544" i="1"/>
  <c r="F337" i="1"/>
  <c r="F351" i="1" s="1"/>
  <c r="H191" i="1"/>
  <c r="C35" i="10"/>
  <c r="D5" i="13"/>
  <c r="C5" i="13" s="1"/>
  <c r="E16" i="13"/>
  <c r="C49" i="2"/>
  <c r="C50" i="2"/>
  <c r="J654" i="1"/>
  <c r="J644" i="1"/>
  <c r="L569" i="1"/>
  <c r="I570" i="1"/>
  <c r="I544" i="1"/>
  <c r="G36" i="2"/>
  <c r="L564" i="1"/>
  <c r="G544" i="1"/>
  <c r="L544" i="1"/>
  <c r="H544" i="1"/>
  <c r="C22" i="13"/>
  <c r="C137" i="2"/>
  <c r="C16" i="13"/>
  <c r="C24" i="10"/>
  <c r="G31" i="13"/>
  <c r="G33" i="13" s="1"/>
  <c r="I337" i="1"/>
  <c r="I351" i="1" s="1"/>
  <c r="J649" i="1"/>
  <c r="L406" i="1"/>
  <c r="C139" i="2" s="1"/>
  <c r="I191" i="1"/>
  <c r="E90" i="2"/>
  <c r="L407" i="1"/>
  <c r="G636" i="1" s="1"/>
  <c r="D50" i="2"/>
  <c r="J653" i="1"/>
  <c r="J652" i="1"/>
  <c r="F143" i="2"/>
  <c r="F144" i="2" s="1"/>
  <c r="G21" i="2"/>
  <c r="L433" i="1"/>
  <c r="J471" i="1" s="1"/>
  <c r="G637" i="1"/>
  <c r="J433" i="1"/>
  <c r="F433" i="1"/>
  <c r="K433" i="1"/>
  <c r="G133" i="2" s="1"/>
  <c r="G143" i="2" s="1"/>
  <c r="G144" i="2" s="1"/>
  <c r="F31" i="13"/>
  <c r="H192" i="1"/>
  <c r="H467" i="1" s="1"/>
  <c r="G139" i="1"/>
  <c r="F139" i="1"/>
  <c r="F192" i="1"/>
  <c r="F467" i="1" s="1"/>
  <c r="J617" i="1"/>
  <c r="G42" i="2"/>
  <c r="J50" i="1"/>
  <c r="G625" i="1" s="1"/>
  <c r="G16" i="2"/>
  <c r="F33" i="13"/>
  <c r="F544" i="1"/>
  <c r="H433" i="1"/>
  <c r="D102" i="2"/>
  <c r="I139" i="1"/>
  <c r="A22" i="12"/>
  <c r="H645" i="1"/>
  <c r="G49" i="2"/>
  <c r="H647" i="1"/>
  <c r="J647" i="1" s="1"/>
  <c r="J651" i="1"/>
  <c r="J641" i="1"/>
  <c r="G570" i="1"/>
  <c r="I433" i="1"/>
  <c r="G433" i="1"/>
  <c r="C27" i="10"/>
  <c r="G634" i="1"/>
  <c r="H308" i="1"/>
  <c r="H337" i="1" s="1"/>
  <c r="H351" i="1" s="1"/>
  <c r="L300" i="1"/>
  <c r="E118" i="2"/>
  <c r="E127" i="2" s="1"/>
  <c r="E144" i="2" s="1"/>
  <c r="L308" i="1"/>
  <c r="L337" i="1"/>
  <c r="L351" i="1" s="1"/>
  <c r="D31" i="13"/>
  <c r="C31" i="13"/>
  <c r="D33" i="13"/>
  <c r="D36" i="13"/>
  <c r="C16" i="10"/>
  <c r="J551" i="1" l="1"/>
  <c r="H551" i="1"/>
  <c r="K550" i="1"/>
  <c r="F551" i="1"/>
  <c r="K548" i="1"/>
  <c r="F80" i="2"/>
  <c r="F103" i="2" s="1"/>
  <c r="G30" i="2"/>
  <c r="J32" i="1"/>
  <c r="J51" i="1" s="1"/>
  <c r="H620" i="1" s="1"/>
  <c r="G9" i="2"/>
  <c r="G18" i="2" s="1"/>
  <c r="J19" i="1"/>
  <c r="G620" i="1" s="1"/>
  <c r="I551" i="1"/>
  <c r="G551" i="1"/>
  <c r="K549" i="1"/>
  <c r="C140" i="2"/>
  <c r="C143" i="2" s="1"/>
  <c r="J616" i="1"/>
  <c r="D144" i="2"/>
  <c r="J192" i="1"/>
  <c r="L228" i="1"/>
  <c r="L221" i="1"/>
  <c r="G659" i="1"/>
  <c r="G663" i="1" s="1"/>
  <c r="C38" i="10"/>
  <c r="D103" i="2"/>
  <c r="G31" i="2"/>
  <c r="G50" i="2" s="1"/>
  <c r="H33" i="13"/>
  <c r="J648" i="1"/>
  <c r="H51" i="1"/>
  <c r="H618" i="1" s="1"/>
  <c r="J618" i="1" s="1"/>
  <c r="I111" i="1"/>
  <c r="C36" i="10" s="1"/>
  <c r="C41" i="10" s="1"/>
  <c r="L210" i="1"/>
  <c r="L239" i="1"/>
  <c r="L246" i="1" s="1"/>
  <c r="H471" i="1"/>
  <c r="G632" i="1"/>
  <c r="J620" i="1"/>
  <c r="G671" i="1"/>
  <c r="C5" i="10" s="1"/>
  <c r="G666" i="1"/>
  <c r="F469" i="1"/>
  <c r="H626" i="1"/>
  <c r="H469" i="1"/>
  <c r="H628" i="1"/>
  <c r="I471" i="1"/>
  <c r="G635" i="1"/>
  <c r="G160" i="2"/>
  <c r="G192" i="1"/>
  <c r="H634" i="1"/>
  <c r="J634" i="1" s="1"/>
  <c r="G473" i="1"/>
  <c r="C119" i="2"/>
  <c r="C127" i="2" s="1"/>
  <c r="C17" i="10"/>
  <c r="E8" i="13"/>
  <c r="D40" i="10"/>
  <c r="D36" i="10"/>
  <c r="G626" i="1"/>
  <c r="J626" i="1" s="1"/>
  <c r="G628" i="1"/>
  <c r="J628" i="1" s="1"/>
  <c r="J473" i="1"/>
  <c r="H637" i="1"/>
  <c r="J637" i="1" s="1"/>
  <c r="G163" i="2"/>
  <c r="F659" i="1"/>
  <c r="G55" i="2"/>
  <c r="G62" i="2" s="1"/>
  <c r="G103" i="2" s="1"/>
  <c r="H659" i="1" l="1"/>
  <c r="H663" i="1" s="1"/>
  <c r="L256" i="1"/>
  <c r="L270" i="1" s="1"/>
  <c r="C144" i="2"/>
  <c r="D38" i="10"/>
  <c r="D37" i="10"/>
  <c r="D35" i="10"/>
  <c r="D41" i="10" s="1"/>
  <c r="D39" i="10"/>
  <c r="K551" i="1"/>
  <c r="J467" i="1"/>
  <c r="G630" i="1"/>
  <c r="G645" i="1"/>
  <c r="J645" i="1" s="1"/>
  <c r="I192" i="1"/>
  <c r="F471" i="1"/>
  <c r="G631" i="1"/>
  <c r="C8" i="13"/>
  <c r="E33" i="13"/>
  <c r="D35" i="13" s="1"/>
  <c r="G467" i="1"/>
  <c r="G627" i="1"/>
  <c r="F663" i="1"/>
  <c r="I659" i="1"/>
  <c r="I663" i="1" s="1"/>
  <c r="C28" i="10"/>
  <c r="D17" i="10" s="1"/>
  <c r="I473" i="1"/>
  <c r="H635" i="1"/>
  <c r="J635" i="1" s="1"/>
  <c r="H473" i="1"/>
  <c r="H475" i="1" s="1"/>
  <c r="H623" i="1" s="1"/>
  <c r="J623" i="1" s="1"/>
  <c r="H632" i="1"/>
  <c r="J632" i="1" s="1"/>
  <c r="H636" i="1" l="1"/>
  <c r="J636" i="1" s="1"/>
  <c r="H630" i="1"/>
  <c r="J630" i="1" s="1"/>
  <c r="J469" i="1"/>
  <c r="J475" i="1" s="1"/>
  <c r="H625" i="1" s="1"/>
  <c r="J625" i="1" s="1"/>
  <c r="G629" i="1"/>
  <c r="I467" i="1"/>
  <c r="H671" i="1"/>
  <c r="C6" i="10" s="1"/>
  <c r="H666" i="1"/>
  <c r="I671" i="1"/>
  <c r="C7" i="10" s="1"/>
  <c r="I666" i="1"/>
  <c r="G469" i="1"/>
  <c r="G475" i="1" s="1"/>
  <c r="H622" i="1" s="1"/>
  <c r="J622" i="1" s="1"/>
  <c r="H627" i="1"/>
  <c r="D23" i="10"/>
  <c r="D22" i="10"/>
  <c r="D16" i="10"/>
  <c r="D21" i="10"/>
  <c r="C30" i="10"/>
  <c r="D11" i="10"/>
  <c r="D26" i="10"/>
  <c r="D13" i="10"/>
  <c r="D27" i="10"/>
  <c r="D12" i="10"/>
  <c r="D18" i="10"/>
  <c r="D24" i="10"/>
  <c r="D19" i="10"/>
  <c r="D25" i="10"/>
  <c r="D15" i="10"/>
  <c r="D20" i="10"/>
  <c r="D10" i="10"/>
  <c r="D28" i="10" s="1"/>
  <c r="F671" i="1"/>
  <c r="C4" i="10" s="1"/>
  <c r="F666" i="1"/>
  <c r="J627" i="1"/>
  <c r="F473" i="1"/>
  <c r="F475" i="1" s="1"/>
  <c r="H621" i="1" s="1"/>
  <c r="H631" i="1"/>
  <c r="J631" i="1" s="1"/>
  <c r="I469" i="1" l="1"/>
  <c r="I475" i="1" s="1"/>
  <c r="H624" i="1" s="1"/>
  <c r="J624" i="1" s="1"/>
  <c r="H629" i="1"/>
  <c r="J629" i="1" s="1"/>
  <c r="J621" i="1"/>
  <c r="H655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<sst xmlns="http://schemas.openxmlformats.org/spreadsheetml/2006/main" count="3955" uniqueCount="919">
  <si>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</si>
  <si>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</si>
  <si>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</si>
  <si>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</si>
  <si>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</si>
  <si>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</si>
  <si>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</si>
  <si>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</si>
  <si>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</si>
  <si>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</si>
  <si>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</si>
  <si>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</si>
  <si>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</si>
  <si>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</si>
  <si>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</si>
  <si>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</si>
  <si>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</si>
  <si>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</si>
  <si>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</si>
  <si>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</si>
  <si>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</si>
  <si>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</si>
  <si>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</si>
  <si>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</si>
  <si>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</si>
  <si>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</si>
  <si>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</si>
  <si>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</si>
  <si>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</si>
  <si>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</si>
  <si>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</si>
  <si>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</si>
  <si>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</si>
  <si>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</si>
  <si>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</si>
  <si>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</si>
  <si>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</si>
  <si>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</si>
  <si>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</si>
  <si>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</si>
  <si>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</si>
  <si>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</si>
  <si>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</si>
  <si>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</si>
  <si>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</si>
  <si>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</si>
  <si>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</si>
  <si>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</si>
  <si>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</si>
  <si>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</si>
  <si>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</si>
  <si>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</si>
  <si>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</si>
  <si>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</si>
  <si>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</si>
  <si>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</si>
  <si>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</si>
  <si>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</si>
  <si>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</si>
  <si>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</si>
  <si>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</si>
  <si>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</si>
  <si>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</si>
  <si>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</si>
  <si>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</si>
  <si>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</si>
  <si>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</si>
  <si>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</si>
  <si>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</si>
  <si>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</si>
  <si>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</si>
  <si>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</si>
  <si>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</si>
  <si>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</si>
  <si>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</si>
  <si>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</si>
  <si>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</si>
  <si>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</si>
  <si>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</si>
  <si>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</si>
  <si>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</si>
  <si>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</si>
  <si>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</si>
  <si>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</si>
  <si>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</si>
  <si>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</si>
  <si>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</si>
  <si>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</si>
  <si>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</si>
  <si>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</si>
  <si>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</si>
  <si>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</si>
  <si>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</si>
  <si>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</si>
  <si>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</si>
  <si>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</si>
  <si>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</si>
  <si>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</si>
  <si>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</si>
  <si>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</si>
  <si>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</si>
  <si>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</si>
  <si>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</si>
  <si>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</si>
  <si>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</si>
  <si>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</si>
  <si>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</si>
  <si>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</si>
  <si>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</si>
  <si>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</si>
  <si>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</si>
  <si>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</si>
  <si>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</si>
  <si>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</si>
  <si>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</si>
  <si>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</si>
  <si>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</si>
  <si>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</si>
  <si>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</si>
  <si>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</si>
  <si>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</si>
  <si>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</si>
  <si>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</si>
  <si>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</si>
  <si>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</si>
  <si>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</si>
  <si>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</si>
  <si>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</si>
  <si>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</si>
  <si>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</si>
  <si>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</si>
  <si>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</si>
  <si>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</si>
  <si>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</si>
  <si>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</si>
  <si>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</si>
  <si>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</si>
  <si>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</si>
  <si>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</si>
  <si>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</si>
  <si>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</si>
  <si>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</si>
  <si>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</si>
  <si>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</si>
  <si>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</si>
  <si>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</si>
  <si>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</si>
  <si>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</si>
  <si>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</si>
  <si>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</si>
  <si>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</si>
  <si>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</si>
  <si>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</si>
  <si>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</si>
  <si>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</si>
  <si>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</si>
  <si>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</si>
  <si>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</si>
  <si>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</si>
  <si>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</si>
  <si>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</si>
  <si>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</si>
  <si>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</si>
  <si>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</si>
  <si>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</si>
  <si>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</si>
  <si>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</si>
  <si>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</si>
  <si>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</si>
  <si>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</si>
  <si>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</si>
  <si>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</si>
  <si>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</si>
  <si>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</si>
  <si>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</si>
  <si>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</si>
  <si>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</si>
  <si>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</si>
  <si>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</si>
  <si>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</si>
  <si>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</si>
  <si>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</si>
  <si>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</si>
  <si>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</si>
  <si>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</si>
  <si>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</si>
  <si>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</si>
  <si>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</si>
  <si>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</si>
  <si>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</si>
  <si>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</si>
  <si>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</si>
  <si>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</si>
  <si>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</si>
  <si>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</si>
  <si>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</si>
  <si>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</si>
  <si>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</si>
  <si>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</si>
  <si>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</si>
  <si>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</si>
  <si>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</si>
  <si>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</si>
  <si>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</si>
  <si>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</si>
  <si>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</si>
  <si>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</si>
  <si>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</si>
  <si>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</si>
  <si>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</si>
  <si>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</si>
  <si>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</si>
  <si>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</si>
  <si>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</si>
  <si>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</si>
  <si>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</si>
  <si>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</si>
  <si>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</si>
  <si>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</si>
  <si>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</si>
  <si>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</si>
  <si>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</si>
  <si>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</si>
  <si>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</si>
  <si>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</si>
  <si>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</si>
  <si>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</si>
  <si>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</si>
  <si>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</si>
  <si>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</si>
  <si>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</si>
  <si>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</si>
  <si>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</si>
  <si>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</si>
  <si>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</si>
  <si>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</si>
  <si>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</si>
  <si>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</si>
  <si>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</si>
  <si>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</si>
  <si>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</si>
  <si>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</si>
  <si>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</si>
  <si>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</si>
  <si>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</si>
  <si>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</si>
  <si>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</si>
  <si>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</si>
  <si>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</si>
  <si>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</si>
  <si>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</si>
  <si>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</si>
  <si>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</si>
  <si>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</si>
  <si>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</si>
  <si>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</si>
  <si>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</si>
  <si>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</si>
  <si>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</si>
  <si>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</si>
  <si>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</si>
  <si>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</si>
  <si>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</si>
  <si>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</si>
  <si>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</si>
  <si>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</si>
  <si>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</si>
  <si>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</si>
  <si>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</si>
  <si>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</si>
  <si>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</si>
  <si>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</si>
  <si>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</si>
  <si>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</si>
  <si>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</si>
  <si>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</si>
  <si>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</si>
  <si>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</si>
  <si>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</si>
  <si>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</si>
  <si>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</si>
  <si>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</si>
  <si>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</si>
  <si>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</si>
  <si>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</si>
  <si>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</si>
  <si>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</si>
  <si>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</si>
  <si>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</si>
  <si>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</si>
  <si>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</si>
  <si>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</si>
  <si>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</si>
  <si>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</si>
  <si>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</si>
  <si>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</si>
  <si>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</si>
  <si>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</si>
  <si>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</si>
  <si>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</si>
  <si>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</si>
  <si>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</si>
  <si>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</si>
  <si>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</si>
  <si>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</si>
  <si>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</si>
  <si>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</si>
  <si>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</si>
  <si>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</si>
  <si>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</si>
  <si>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</si>
  <si>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</si>
  <si>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</si>
  <si>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</si>
  <si>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</si>
  <si>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</si>
  <si>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</si>
  <si>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</si>
  <si>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</si>
  <si>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</si>
  <si>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</si>
  <si>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</si>
  <si>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</si>
  <si>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</si>
  <si>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</si>
  <si>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</si>
  <si>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</si>
  <si>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</si>
  <si>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</si>
  <si>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</si>
  <si>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</si>
  <si>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</si>
  <si>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</si>
  <si>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</si>
  <si>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</si>
  <si>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</si>
  <si>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</si>
  <si>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</si>
  <si>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</si>
  <si>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</si>
  <si>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</si>
  <si>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</si>
  <si>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</si>
  <si>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</si>
  <si>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</si>
  <si>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</si>
  <si>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</si>
  <si>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</si>
  <si>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</si>
  <si>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</si>
  <si>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</si>
  <si>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</si>
  <si>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</si>
  <si>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</si>
  <si>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</si>
  <si>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</si>
  <si>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</si>
  <si>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</si>
  <si>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</si>
  <si>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</si>
  <si>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</si>
  <si>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</si>
  <si>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</si>
  <si>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</si>
  <si>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</si>
  <si>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</si>
  <si>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</si>
  <si>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</si>
  <si>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</si>
  <si>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</si>
  <si>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</si>
  <si>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</si>
  <si>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</si>
  <si>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</si>
  <si>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</si>
  <si>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</si>
  <si>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</si>
  <si>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</si>
  <si>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</si>
  <si>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</si>
  <si>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</si>
  <si>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</si>
  <si>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</si>
  <si>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</si>
  <si>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</si>
  <si>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</si>
  <si>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</si>
  <si>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</si>
  <si>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</si>
  <si>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</si>
  <si>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</si>
  <si>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</si>
  <si>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</si>
  <si>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</si>
  <si>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</si>
  <si>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</si>
  <si>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</si>
  <si>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</si>
  <si>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</si>
  <si>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</si>
  <si>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</si>
  <si>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</si>
  <si>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</si>
  <si>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</si>
  <si>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</si>
  <si>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</si>
  <si>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</si>
  <si>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</si>
  <si>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</si>
  <si>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</si>
  <si>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</si>
  <si>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</si>
  <si>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</si>
  <si>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</si>
  <si>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</si>
  <si>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</si>
  <si>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</si>
  <si>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</si>
  <si>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</si>
  <si>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</si>
  <si>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</si>
  <si>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</si>
  <si>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</si>
  <si>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</si>
  <si>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</si>
  <si>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</si>
  <si>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</si>
  <si>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</si>
  <si>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</si>
  <si>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</si>
  <si>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</si>
  <si>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</si>
  <si>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</si>
  <si>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</si>
  <si>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</si>
  <si>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</si>
  <si>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</si>
  <si>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</si>
  <si>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</si>
  <si>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</si>
  <si>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</si>
  <si>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</si>
  <si>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</si>
  <si>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</si>
  <si>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</si>
  <si>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</si>
  <si>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</si>
  <si>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</si>
  <si>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</si>
  <si>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</si>
  <si>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</si>
  <si>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</si>
  <si>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</si>
  <si>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</si>
  <si>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</si>
  <si>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</si>
  <si>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</si>
  <si>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</si>
  <si>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</si>
  <si>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</si>
  <si>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</si>
  <si>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</si>
  <si>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</si>
  <si>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</si>
  <si>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</si>
  <si>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</si>
  <si>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</si>
  <si>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</si>
  <si>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</si>
  <si>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</si>
  <si>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</si>
  <si>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</si>
  <si>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</si>
  <si>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</si>
  <si>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</si>
  <si>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</si>
  <si>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</si>
  <si>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</si>
  <si>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</si>
  <si>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</si>
  <si>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</si>
  <si>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</si>
  <si>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</si>
  <si>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</si>
  <si>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</si>
  <si>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</si>
  <si>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</si>
  <si>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</si>
  <si>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</si>
  <si>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</si>
  <si>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</si>
  <si>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</si>
  <si>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</si>
  <si>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</si>
  <si>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</si>
  <si>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</si>
  <si>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</si>
  <si>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</si>
  <si>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</si>
  <si>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</si>
  <si>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</si>
  <si>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</si>
  <si>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</si>
  <si>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</si>
  <si>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</si>
  <si>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</si>
  <si>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</si>
  <si>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</si>
  <si>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</si>
  <si>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</si>
  <si>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</si>
  <si>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</si>
  <si>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</si>
  <si>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</si>
  <si>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</si>
  <si>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</si>
  <si>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</si>
  <si>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</si>
  <si>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</si>
  <si>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</si>
  <si>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</si>
  <si>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</si>
  <si>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</si>
  <si>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</si>
  <si>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</si>
  <si>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</si>
  <si>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</si>
  <si>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</si>
  <si>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</si>
  <si>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</si>
  <si>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</si>
  <si>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</si>
  <si>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</si>
  <si>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</si>
  <si>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</si>
  <si>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</si>
  <si>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</si>
  <si>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</si>
  <si>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</si>
  <si>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</si>
  <si>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</si>
  <si>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</si>
  <si>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</si>
  <si>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</si>
  <si>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</si>
  <si>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</si>
  <si>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</si>
  <si>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</si>
  <si>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</si>
  <si>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</si>
  <si>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</si>
  <si>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</si>
  <si>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</si>
  <si>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</si>
  <si>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</si>
  <si>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</si>
  <si>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</si>
  <si>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</si>
  <si>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</si>
  <si>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</si>
  <si>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</si>
  <si>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</si>
  <si>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</si>
  <si>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</si>
  <si>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</si>
  <si>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</si>
  <si>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</si>
  <si>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</si>
  <si>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</si>
  <si>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</si>
  <si>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</si>
  <si>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</si>
  <si>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</si>
  <si>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</si>
  <si>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</si>
  <si>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</si>
  <si>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</si>
  <si>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</si>
  <si>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</si>
  <si>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</si>
  <si>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</si>
  <si>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</si>
  <si>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</si>
  <si>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</si>
  <si>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</si>
  <si>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</si>
  <si>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</si>
  <si>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</si>
  <si>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</si>
  <si>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</si>
  <si>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</si>
  <si>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</si>
  <si>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</si>
  <si>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</si>
  <si>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</si>
  <si>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</si>
  <si>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</si>
  <si>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</si>
  <si>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</si>
  <si>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</si>
  <si>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</si>
  <si>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</si>
  <si>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</si>
  <si>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</si>
  <si>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</si>
  <si>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</si>
  <si>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</si>
  <si>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</si>
  <si>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</si>
  <si>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</si>
  <si>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</si>
  <si>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</si>
  <si>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</si>
  <si>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</si>
  <si>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</si>
  <si>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</si>
  <si>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</si>
  <si>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</si>
  <si>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</si>
  <si>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</si>
  <si>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</si>
  <si>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</si>
  <si>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</si>
  <si>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</si>
  <si>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</si>
  <si>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</si>
  <si>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</si>
  <si>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</si>
  <si>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</si>
  <si>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</si>
  <si>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</si>
  <si>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</si>
  <si>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</si>
  <si>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</si>
  <si>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</si>
  <si>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</si>
  <si>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</si>
  <si>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</si>
  <si>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</si>
  <si>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</si>
  <si>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</si>
  <si>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</si>
  <si>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</si>
  <si>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</si>
  <si>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</si>
  <si>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</si>
  <si>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</si>
  <si>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</si>
  <si>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</si>
  <si>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</si>
  <si>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</si>
  <si>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</si>
  <si>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</si>
  <si>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</si>
  <si>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</si>
  <si>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</si>
  <si>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</si>
  <si>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</si>
  <si>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</si>
  <si>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</si>
  <si>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</si>
  <si>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</si>
  <si>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</si>
  <si>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</si>
  <si>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</si>
  <si>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</si>
  <si>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</si>
  <si>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</si>
  <si>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</si>
  <si>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</si>
  <si>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</si>
  <si>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</si>
  <si>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</si>
  <si>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</si>
  <si>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</si>
  <si>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</si>
  <si>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</si>
  <si>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</si>
  <si>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</si>
  <si>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</si>
  <si>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</si>
  <si>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</si>
  <si>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</si>
  <si>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</si>
  <si>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</si>
  <si>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</si>
  <si>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</si>
  <si>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</si>
  <si>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</si>
  <si>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</si>
  <si>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</si>
  <si>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</si>
  <si>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</si>
  <si>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</si>
  <si>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</si>
  <si>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</si>
  <si>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</si>
  <si>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</si>
  <si>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</si>
  <si>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</si>
  <si>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</si>
  <si>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</si>
  <si>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</si>
  <si>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</si>
  <si>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</si>
  <si>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</si>
  <si>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</si>
  <si>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</si>
  <si>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</si>
  <si>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</si>
  <si>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</si>
  <si>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</si>
  <si>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</si>
  <si>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</si>
  <si>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</si>
  <si>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</si>
  <si>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</si>
  <si>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</si>
  <si>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</si>
  <si>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</si>
  <si>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</si>
  <si>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</si>
  <si>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</si>
  <si>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</si>
  <si>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</si>
  <si>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</si>
  <si>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</si>
  <si>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</si>
  <si>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</si>
  <si>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</si>
  <si>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</si>
  <si>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</si>
  <si>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</si>
  <si>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</si>
  <si>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</si>
  <si>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</si>
  <si>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</si>
  <si>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</si>
  <si>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</si>
  <si>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</si>
  <si>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</si>
  <si>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</si>
  <si>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</si>
  <si>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</si>
  <si>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</si>
  <si>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</si>
  <si>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</si>
  <si>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</si>
  <si>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</si>
  <si>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</si>
  <si>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</si>
  <si>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</si>
  <si>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</si>
  <si>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</si>
  <si>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</si>
  <si>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</si>
  <si>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</si>
  <si>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</si>
  <si>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</si>
  <si>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</si>
  <si>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</si>
  <si>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</si>
  <si>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</si>
  <si>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</si>
  <si>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</si>
  <si>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</si>
  <si>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</si>
  <si>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</si>
  <si>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</si>
  <si>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</si>
  <si>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</si>
  <si>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</si>
  <si>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</si>
  <si>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</si>
  <si>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</si>
  <si>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</si>
  <si>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</si>
  <si>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</si>
  <si>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</si>
  <si>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</si>
  <si>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</si>
  <si>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</si>
  <si>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</si>
  <si>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</si>
  <si>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</si>
  <si>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</si>
  <si>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</si>
  <si>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</si>
  <si>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</si>
  <si>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</si>
  <si>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</si>
  <si>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</si>
  <si>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</si>
  <si>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</si>
  <si>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</si>
  <si>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</si>
  <si>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</si>
  <si>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</si>
  <si>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</si>
  <si>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</si>
  <si>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</si>
  <si>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</si>
  <si>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</si>
  <si>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</si>
  <si>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</si>
  <si>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</si>
  <si>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</si>
  <si>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</si>
  <si>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</si>
  <si>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</si>
  <si>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</si>
  <si>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</si>
  <si>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</si>
  <si>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</si>
  <si>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</si>
  <si>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</si>
  <si>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</si>
  <si>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</si>
  <si>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</si>
  <si>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</si>
  <si>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</si>
  <si>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</si>
  <si>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</si>
  <si>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</si>
  <si>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</si>
  <si>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</si>
  <si>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</si>
  <si>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</si>
  <si>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</si>
  <si>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</si>
  <si>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</si>
  <si>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</si>
  <si>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</si>
  <si>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</si>
  <si>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</si>
  <si>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</si>
  <si>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</si>
  <si>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</si>
  <si>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</si>
  <si>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</si>
  <si>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</si>
  <si>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</si>
  <si>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</si>
  <si>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</si>
  <si>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</si>
  <si>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</si>
  <si>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</si>
  <si>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</si>
  <si>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</si>
  <si>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</si>
  <si>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</si>
  <si>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</si>
  <si>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</si>
  <si>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</si>
  <si>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</si>
  <si>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</si>
  <si>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</si>
  <si>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</si>
  <si>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</si>
  <si>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</si>
  <si>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</si>
  <si>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</si>
  <si>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</si>
  <si>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</si>
  <si>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</si>
  <si>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</si>
  <si>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</si>
  <si>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</si>
  <si>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</si>
  <si>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</si>
  <si>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</si>
  <si>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</si>
  <si>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</si>
  <si>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</si>
  <si>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</si>
  <si>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</si>
  <si>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</si>
  <si>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</si>
  <si>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</si>
  <si>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</si>
  <si>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</si>
  <si>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</si>
  <si>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</si>
  <si>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</si>
  <si>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</si>
  <si>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</si>
  <si>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</si>
  <si>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</si>
  <si>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</si>
  <si>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</si>
  <si>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</si>
  <si>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</si>
  <si>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</si>
  <si>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</si>
  <si>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</si>
  <si>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</si>
  <si>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</si>
  <si>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</si>
  <si>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</si>
  <si>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</si>
  <si>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</si>
  <si>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</si>
  <si>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</si>
  <si>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</si>
  <si>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</si>
  <si>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</si>
  <si>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</si>
  <si>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</si>
  <si>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</si>
  <si>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07/03</t>
  </si>
  <si>
    <t>07/12</t>
  </si>
  <si>
    <t>12/07</t>
  </si>
  <si>
    <t>01/13</t>
  </si>
  <si>
    <t>12/10</t>
  </si>
  <si>
    <t>01/16</t>
  </si>
  <si>
    <t>12/11</t>
  </si>
  <si>
    <t>01/32</t>
  </si>
  <si>
    <t>Various</t>
  </si>
  <si>
    <t>Lebanon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</si>
</sst>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0" fontId="28" fillId="0" borderId="0" xfId="0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\\lebfs1\DOE-25\FY2011-2012\Final\TOT08.xlsx" TargetMode="External"/><Relationship Id="rId13" Type="http://schemas.openxmlformats.org/officeDocument/2006/relationships/externalLinkPath" Target="file:///\\lebfs1\DOE-25\FY2011-2012\Final\TOT13.xlsx" TargetMode="External"/><Relationship Id="rId18" Type="http://schemas.openxmlformats.org/officeDocument/2006/relationships/externalLinkPath" Target="file:///\\lebfs1\DOE-25\FY2011-2012\Final\TOT18.xlsx" TargetMode="External"/><Relationship Id="rId3" Type="http://schemas.openxmlformats.org/officeDocument/2006/relationships/externalLinkPath" Target="file:///\\lebfs1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\\lebfs1\DOE-25\FY2011-2012\Final\TOT07.xlsx" TargetMode="External"/><Relationship Id="rId12" Type="http://schemas.openxmlformats.org/officeDocument/2006/relationships/externalLinkPath" Target="file:///\\lebfs1\DOE-25\FY2011-2012\Final\TOT12.xlsx" TargetMode="External"/><Relationship Id="rId17" Type="http://schemas.openxmlformats.org/officeDocument/2006/relationships/externalLinkPath" Target="file:///\\lebfs1\DOE-25\FY2011-2012\Final\TOT17.xlsx" TargetMode="External"/><Relationship Id="rId2" Type="http://schemas.openxmlformats.org/officeDocument/2006/relationships/externalLinkPath" Target="file:///\\lebfs1\DOE-25\FY2011-2012\Final\TOT02.xlsx" TargetMode="External"/><Relationship Id="rId16" Type="http://schemas.openxmlformats.org/officeDocument/2006/relationships/externalLinkPath" Target="file:///\\lebfs1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\\lebfs1\DOE-25\FY2011-2012\Final\TOT01.xlsx" TargetMode="External"/><Relationship Id="rId6" Type="http://schemas.openxmlformats.org/officeDocument/2006/relationships/externalLinkPath" Target="file:///\\lebfs1\DOE-25\FY2011-2012\Final\TOT06.xlsx" TargetMode="External"/><Relationship Id="rId11" Type="http://schemas.openxmlformats.org/officeDocument/2006/relationships/externalLinkPath" Target="file:///\\lebfs1\DOE-25\FY2011-2012\Final\TOT11.xlsx" TargetMode="External"/><Relationship Id="rId5" Type="http://schemas.openxmlformats.org/officeDocument/2006/relationships/externalLinkPath" Target="file:///\\lebfs1\DOE-25\FY2011-2012\Final\TOT05.xlsx" TargetMode="External"/><Relationship Id="rId15" Type="http://schemas.openxmlformats.org/officeDocument/2006/relationships/externalLinkPath" Target="file:///\\lebfs1\DOE-25\FY2011-2012\Final\TOT15.xlsx" TargetMode="External"/><Relationship Id="rId10" Type="http://schemas.openxmlformats.org/officeDocument/2006/relationships/externalLinkPath" Target="file:///\\lebfs1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\\lebfs1\DOE-25\FY2011-2012\Final\TOT04.xlsx" TargetMode="External"/><Relationship Id="rId9" Type="http://schemas.openxmlformats.org/officeDocument/2006/relationships/externalLinkPath" Target="file:///\\lebfs1\DOE-25\FY2011-2012\Final\TOT09.xlsx" TargetMode="External"/><Relationship Id="rId14" Type="http://schemas.openxmlformats.org/officeDocument/2006/relationships/externalLinkPath" Target="file:///\\lebfs1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642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918</v>
      </c>
      <c r="B2" s="21">
        <v>295</v>
      </c>
      <c r="C2" s="21">
        <v>295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727725.19+781493.81</f>
        <v>1509219</v>
      </c>
      <c r="G9" s="18">
        <v>24192.3</v>
      </c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3402512.55</v>
      </c>
      <c r="G10" s="18"/>
      <c r="H10" s="18"/>
      <c r="I10" s="18">
        <v>281228.79999999999</v>
      </c>
      <c r="J10" s="67">
        <f>SUM(I439)</f>
        <v>2269808.04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>
        <v>338298.68</v>
      </c>
      <c r="I12" s="18"/>
      <c r="J12" s="67">
        <f>SUM(I440)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12626.32</v>
      </c>
      <c r="H13" s="18">
        <v>210283.71</v>
      </c>
      <c r="I13" s="18"/>
      <c r="J13" s="67">
        <f>SUM(I441)</f>
        <v>362187.36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7934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80150.960000000006</v>
      </c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4991882.51</v>
      </c>
      <c r="G19" s="41">
        <f>SUM(G9:G18)</f>
        <v>44752.619999999995</v>
      </c>
      <c r="H19" s="41">
        <f>SUM(H9:H18)</f>
        <v>548582.39</v>
      </c>
      <c r="I19" s="41">
        <f>SUM(I9:I18)</f>
        <v>281228.79999999999</v>
      </c>
      <c r="J19" s="41">
        <f>SUM(J9:J18)</f>
        <v>2631995.4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f>362187.36</f>
        <v>362187.36</v>
      </c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>
        <v>22700</v>
      </c>
      <c r="H24" s="18">
        <f>17016.63+5837.09</f>
        <v>22853.72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>
        <v>41838.269999999997</v>
      </c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1339.73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9426.2999999999993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363527.08999999997</v>
      </c>
      <c r="G32" s="41">
        <f>SUM(G22:G31)</f>
        <v>32126.3</v>
      </c>
      <c r="H32" s="41">
        <f>SUM(H22:H31)</f>
        <v>22853.72</v>
      </c>
      <c r="I32" s="41">
        <f>SUM(I22:I31)</f>
        <v>41838.269999999997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239390.53</v>
      </c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2304174.46</v>
      </c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80150.960000000006</v>
      </c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0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12626.32</v>
      </c>
      <c r="H47" s="18">
        <v>525728.67000000004</v>
      </c>
      <c r="I47" s="18"/>
      <c r="J47" s="13">
        <f>SUM(I458)</f>
        <v>2631995.4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0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2244030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0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4628355.42</v>
      </c>
      <c r="G50" s="41">
        <f>SUM(G35:G49)</f>
        <v>12626.32</v>
      </c>
      <c r="H50" s="41">
        <f>SUM(H35:H49)</f>
        <v>525728.67000000004</v>
      </c>
      <c r="I50" s="41">
        <f>SUM(I35:I49)</f>
        <v>239390.53</v>
      </c>
      <c r="J50" s="41">
        <f>SUM(J35:J49)</f>
        <v>2631995.4</v>
      </c>
      <c r="K50" s="45" t="s">
        <v>289</v>
      </c>
      <c r="L50" s="45" t="s">
        <v>289</v>
      </c>
      <c r="N50" s="181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4991882.51</v>
      </c>
      <c r="G51" s="41">
        <f>G50+G32</f>
        <v>44752.619999999995</v>
      </c>
      <c r="H51" s="41">
        <f>H50+H32</f>
        <v>548582.39</v>
      </c>
      <c r="I51" s="41">
        <f>I50+I32</f>
        <v>281228.79999999999</v>
      </c>
      <c r="J51" s="41">
        <f>J50+J32</f>
        <v>2631995.4</v>
      </c>
      <c r="K51" s="45" t="s">
        <v>289</v>
      </c>
      <c r="L51" s="45" t="s">
        <v>289</v>
      </c>
      <c r="M51" s="8"/>
      <c r="N51" s="270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0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0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0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0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20134142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0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1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20134142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1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0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f>8415.59+10508.45</f>
        <v>18924.04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4562.5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1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0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4360652.41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>
        <v>62691.199999999997</v>
      </c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181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4446830.1500000004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0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0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0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0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0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0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0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5857.79</v>
      </c>
      <c r="G95" s="18"/>
      <c r="H95" s="18"/>
      <c r="I95" s="18"/>
      <c r="J95" s="18">
        <v>3038.72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368997.5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11909.2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25970.5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>
        <v>773345.13</v>
      </c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2784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23190.61</v>
      </c>
      <c r="G109" s="18"/>
      <c r="H109" s="18">
        <v>141147.35999999999</v>
      </c>
      <c r="I109" s="18">
        <v>24807.5</v>
      </c>
      <c r="J109" s="18"/>
      <c r="K109" s="24" t="s">
        <v>289</v>
      </c>
      <c r="L109" s="24" t="s">
        <v>289</v>
      </c>
      <c r="M109" s="8"/>
      <c r="N109" s="270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843057.23</v>
      </c>
      <c r="G110" s="41">
        <f>SUM(G95:G109)</f>
        <v>368997.5</v>
      </c>
      <c r="H110" s="41">
        <f>SUM(H95:H109)</f>
        <v>141147.35999999999</v>
      </c>
      <c r="I110" s="41">
        <f>SUM(I95:I109)</f>
        <v>24807.5</v>
      </c>
      <c r="J110" s="41">
        <f>SUM(J95:J109)</f>
        <v>3038.72</v>
      </c>
      <c r="K110" s="45" t="s">
        <v>289</v>
      </c>
      <c r="L110" s="45" t="s">
        <v>289</v>
      </c>
      <c r="N110" s="181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25424029.379999999</v>
      </c>
      <c r="G111" s="41">
        <f>G59+G110</f>
        <v>368997.5</v>
      </c>
      <c r="H111" s="41">
        <f>H59+H78+H93+H110</f>
        <v>141147.35999999999</v>
      </c>
      <c r="I111" s="41">
        <f>I59+I110</f>
        <v>24807.5</v>
      </c>
      <c r="J111" s="41">
        <f>J59+J110</f>
        <v>3038.72</v>
      </c>
      <c r="K111" s="45" t="s">
        <v>289</v>
      </c>
      <c r="L111" s="45" t="s">
        <v>289</v>
      </c>
      <c r="M111" s="8"/>
      <c r="N111" s="270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0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0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0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0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2797920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4404043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0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7201963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0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0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925873.85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0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0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436002.78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277322.11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9250.9699999999993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5277.91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0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0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1648449.7099999997</v>
      </c>
      <c r="G135" s="41">
        <f>SUM(G122:G134)</f>
        <v>5277.91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0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0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8850412.709999999</v>
      </c>
      <c r="G139" s="41">
        <f>G120+SUM(G135:G136)</f>
        <v>5277.91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0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0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0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0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0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>
        <v>27011.48</v>
      </c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27011.48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0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0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>
        <v>320492.84000000003</v>
      </c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361951.1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126298.18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>
        <v>76113.69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194561.44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218280.89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218280.89</v>
      </c>
      <c r="G161" s="41">
        <f>SUM(G149:G160)</f>
        <v>194561.44</v>
      </c>
      <c r="H161" s="41">
        <f>SUM(H149:H160)</f>
        <v>884855.80999999982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0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0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3998.23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222279.12000000002</v>
      </c>
      <c r="G168" s="41">
        <f>G146+G161+SUM(G162:G167)</f>
        <v>221572.92</v>
      </c>
      <c r="H168" s="41">
        <f>H146+H161+SUM(H162:H167)</f>
        <v>884855.80999999982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0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0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0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0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0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0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0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773336.13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773336.13</v>
      </c>
      <c r="K182" s="45" t="s">
        <v>289</v>
      </c>
      <c r="L182" s="45" t="s">
        <v>289</v>
      </c>
      <c r="M182" s="8"/>
      <c r="N182" s="270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0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181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181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0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773336.13</v>
      </c>
      <c r="K191" s="45" t="s">
        <v>289</v>
      </c>
      <c r="L191" s="45" t="s">
        <v>289</v>
      </c>
      <c r="M191" s="8"/>
      <c r="N191" s="270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34496721.209999993</v>
      </c>
      <c r="G192" s="47">
        <f>G111+G139+G168+G191</f>
        <v>595848.32999999996</v>
      </c>
      <c r="H192" s="47">
        <f>H111+H139+H168+H191</f>
        <v>1026003.1699999998</v>
      </c>
      <c r="I192" s="47">
        <f>I111+I139+I168+I191</f>
        <v>24807.5</v>
      </c>
      <c r="J192" s="47">
        <f>J111+J139+J191</f>
        <v>776374.85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0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0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0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3311394.87</v>
      </c>
      <c r="G196" s="18">
        <v>1393954.53</v>
      </c>
      <c r="H196" s="18">
        <v>9346.49</v>
      </c>
      <c r="I196" s="18">
        <v>83700.929999999993</v>
      </c>
      <c r="J196" s="18">
        <v>12327.93</v>
      </c>
      <c r="K196" s="18">
        <v>8508.01</v>
      </c>
      <c r="L196" s="19">
        <f>SUM(F196:K196)</f>
        <v>4819232.76</v>
      </c>
      <c r="M196" s="8"/>
      <c r="N196" s="270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1392386.9</v>
      </c>
      <c r="G197" s="18">
        <v>739093.28</v>
      </c>
      <c r="H197" s="18">
        <f>121348.76+157.83</f>
        <v>121506.59</v>
      </c>
      <c r="I197" s="18">
        <v>7084.93</v>
      </c>
      <c r="J197" s="18">
        <v>2584.5</v>
      </c>
      <c r="K197" s="18">
        <v>805.66</v>
      </c>
      <c r="L197" s="19">
        <f>SUM(F197:K197)</f>
        <v>2263461.86</v>
      </c>
      <c r="M197" s="8"/>
      <c r="N197" s="270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0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9090.1299999999992</v>
      </c>
      <c r="G199" s="18">
        <v>1749.53</v>
      </c>
      <c r="H199" s="18"/>
      <c r="I199" s="18"/>
      <c r="J199" s="18"/>
      <c r="K199" s="18"/>
      <c r="L199" s="19">
        <f>SUM(F199:K199)</f>
        <v>10839.66</v>
      </c>
      <c r="M199" s="8"/>
      <c r="N199" s="270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0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106747.2+122984.42</f>
        <v>229731.62</v>
      </c>
      <c r="G201" s="18">
        <f>43120.41+51942.14</f>
        <v>95062.55</v>
      </c>
      <c r="H201" s="18">
        <f>7792.78+146.51</f>
        <v>7939.29</v>
      </c>
      <c r="I201" s="18">
        <f>1479.86+2913.05</f>
        <v>4392.91</v>
      </c>
      <c r="J201" s="18">
        <v>442.41</v>
      </c>
      <c r="K201" s="18">
        <v>0</v>
      </c>
      <c r="L201" s="19">
        <f t="shared" ref="L201:L207" si="0">SUM(F201:K201)</f>
        <v>337568.77999999991</v>
      </c>
      <c r="M201" s="8"/>
      <c r="N201" s="270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12684.84+14085.25+209551.99+45491.12</f>
        <v>281813.2</v>
      </c>
      <c r="G202" s="18">
        <f>1569.52+2307.19+2736.27+85680.25+19017.07</f>
        <v>111310.29999999999</v>
      </c>
      <c r="H202" s="18">
        <f>14726.96+23227.39+617.03+727.99+134992.13</f>
        <v>174291.5</v>
      </c>
      <c r="I202" s="18">
        <f>3246.82+26731.99+12398.26</f>
        <v>42377.07</v>
      </c>
      <c r="J202" s="18">
        <f>2150.77+21593.48</f>
        <v>23744.25</v>
      </c>
      <c r="K202" s="18">
        <v>0</v>
      </c>
      <c r="L202" s="19">
        <f t="shared" si="0"/>
        <v>633536.31999999995</v>
      </c>
      <c r="M202" s="8"/>
      <c r="N202" s="270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5483.09+173439.34+14935.84</f>
        <v>193858.27</v>
      </c>
      <c r="G203" s="18">
        <f>443.69+83188.88+8716.49</f>
        <v>92349.060000000012</v>
      </c>
      <c r="H203" s="18">
        <f>38334.68+64228.29+7078.69-157.83</f>
        <v>109483.83</v>
      </c>
      <c r="I203" s="18">
        <f>11505.18+9127.88+1278.12</f>
        <v>21911.179999999997</v>
      </c>
      <c r="J203" s="18">
        <f>2774.62</f>
        <v>2774.62</v>
      </c>
      <c r="K203" s="18">
        <f>42.13+8852.36+2556.61</f>
        <v>11451.1</v>
      </c>
      <c r="L203" s="19">
        <f t="shared" si="0"/>
        <v>431828.06</v>
      </c>
      <c r="M203" s="8"/>
      <c r="N203" s="270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269929.96999999997</v>
      </c>
      <c r="G204" s="18">
        <v>119059.83</v>
      </c>
      <c r="H204" s="18">
        <v>16338.66</v>
      </c>
      <c r="I204" s="18">
        <v>4077.84</v>
      </c>
      <c r="J204" s="18">
        <v>780.7</v>
      </c>
      <c r="K204" s="18">
        <v>1482.99</v>
      </c>
      <c r="L204" s="19">
        <f t="shared" si="0"/>
        <v>411669.99</v>
      </c>
      <c r="M204" s="8"/>
      <c r="N204" s="270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0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330351.21999999997</v>
      </c>
      <c r="G206" s="18">
        <v>143042.79999999999</v>
      </c>
      <c r="H206" s="18">
        <v>176975.93</v>
      </c>
      <c r="I206" s="18">
        <v>238921.46</v>
      </c>
      <c r="J206" s="18">
        <v>5405.81</v>
      </c>
      <c r="K206" s="18">
        <v>285.86</v>
      </c>
      <c r="L206" s="19">
        <f t="shared" si="0"/>
        <v>894983.08</v>
      </c>
      <c r="M206" s="8"/>
      <c r="N206" s="270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134309.42000000001</v>
      </c>
      <c r="G207" s="18">
        <f>25448.57+2474.78</f>
        <v>27923.35</v>
      </c>
      <c r="H207" s="18">
        <f>49551.91+0.01</f>
        <v>49551.920000000006</v>
      </c>
      <c r="I207" s="18">
        <v>41216.400000000001</v>
      </c>
      <c r="J207" s="18">
        <v>0</v>
      </c>
      <c r="K207" s="18">
        <v>165.8</v>
      </c>
      <c r="L207" s="19">
        <f t="shared" si="0"/>
        <v>253166.89</v>
      </c>
      <c r="M207" s="8"/>
      <c r="N207" s="270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0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0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6152865.5999999987</v>
      </c>
      <c r="G210" s="41">
        <f t="shared" si="1"/>
        <v>2723545.2299999995</v>
      </c>
      <c r="H210" s="41">
        <f t="shared" si="1"/>
        <v>665434.21000000008</v>
      </c>
      <c r="I210" s="41">
        <f t="shared" si="1"/>
        <v>443682.72</v>
      </c>
      <c r="J210" s="41">
        <f t="shared" si="1"/>
        <v>48060.219999999994</v>
      </c>
      <c r="K210" s="41">
        <f t="shared" si="1"/>
        <v>22699.420000000002</v>
      </c>
      <c r="L210" s="41">
        <f t="shared" si="1"/>
        <v>10056287.4</v>
      </c>
      <c r="M210" s="8"/>
      <c r="N210" s="270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0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0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0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2628825.4</v>
      </c>
      <c r="G214" s="18">
        <v>1066559.28</v>
      </c>
      <c r="H214" s="18">
        <v>6524.51</v>
      </c>
      <c r="I214" s="18">
        <v>103009.64</v>
      </c>
      <c r="J214" s="18">
        <v>1524.08</v>
      </c>
      <c r="K214" s="18">
        <v>9823.11</v>
      </c>
      <c r="L214" s="19">
        <f>SUM(F214:K214)</f>
        <v>3816266.0199999996</v>
      </c>
      <c r="M214" s="8"/>
      <c r="N214" s="270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1013977.18</v>
      </c>
      <c r="G215" s="18">
        <v>541210.42000000004</v>
      </c>
      <c r="H215" s="18">
        <f>809591.35+122.24</f>
        <v>809713.59</v>
      </c>
      <c r="I215" s="18">
        <v>8662.27</v>
      </c>
      <c r="J215" s="18">
        <v>1483.44</v>
      </c>
      <c r="K215" s="18">
        <v>526.54999999999995</v>
      </c>
      <c r="L215" s="19">
        <f>SUM(F215:K215)</f>
        <v>2375573.4499999997</v>
      </c>
      <c r="M215" s="8"/>
      <c r="N215" s="270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68228.69</v>
      </c>
      <c r="G217" s="18">
        <v>8804</v>
      </c>
      <c r="H217" s="18">
        <v>40200.5</v>
      </c>
      <c r="I217" s="18">
        <v>12306.46</v>
      </c>
      <c r="J217" s="18">
        <v>4878.3</v>
      </c>
      <c r="K217" s="18">
        <v>710</v>
      </c>
      <c r="L217" s="19">
        <f>SUM(F217:K217)</f>
        <v>135127.94999999998</v>
      </c>
      <c r="M217" s="8"/>
      <c r="N217" s="270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0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146156.19+70590.17</f>
        <v>216746.36</v>
      </c>
      <c r="G219" s="18">
        <f>42215.62+23045.07</f>
        <v>65260.69</v>
      </c>
      <c r="H219" s="18">
        <f>45715+113.47</f>
        <v>45828.47</v>
      </c>
      <c r="I219" s="18">
        <f>1062.99+2473.15</f>
        <v>3536.1400000000003</v>
      </c>
      <c r="J219" s="18">
        <v>0</v>
      </c>
      <c r="K219" s="18">
        <v>40</v>
      </c>
      <c r="L219" s="19">
        <f t="shared" ref="L219:L225" si="2">SUM(F219:K219)</f>
        <v>331411.66000000003</v>
      </c>
      <c r="M219" s="8"/>
      <c r="N219" s="270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f>9806.01+10908.76+105013.76+35232</f>
        <v>160960.53</v>
      </c>
      <c r="G220" s="18">
        <f>1215.57+1783.58+2119.19+42598.15+14728.35</f>
        <v>62444.840000000004</v>
      </c>
      <c r="H220" s="18">
        <f>15134.57+17989.16+477.88+1899.5+104548.8</f>
        <v>140049.91</v>
      </c>
      <c r="I220" s="18">
        <f>2514.6+18516.77+8040.36</f>
        <v>29071.73</v>
      </c>
      <c r="J220" s="18">
        <f>24745.88</f>
        <v>24745.88</v>
      </c>
      <c r="K220" s="18">
        <v>0</v>
      </c>
      <c r="L220" s="19">
        <f t="shared" si="2"/>
        <v>417272.89</v>
      </c>
      <c r="M220" s="8"/>
      <c r="N220" s="270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f>4246.55+134325.42+11567.52</f>
        <v>150139.49</v>
      </c>
      <c r="G221" s="18">
        <f>343.63+64428.18+6750.75</f>
        <v>71522.559999999998</v>
      </c>
      <c r="H221" s="18">
        <f>29689.47+49743.58+5482.31-0.03-122.24</f>
        <v>84793.09</v>
      </c>
      <c r="I221" s="18">
        <f>8910.54+7069.37+989.88</f>
        <v>16969.79</v>
      </c>
      <c r="J221" s="18">
        <v>2148.89</v>
      </c>
      <c r="K221" s="18">
        <f>1980.05+6855.98+32.63</f>
        <v>8868.659999999998</v>
      </c>
      <c r="L221" s="19">
        <f t="shared" si="2"/>
        <v>334442.48</v>
      </c>
      <c r="M221" s="8"/>
      <c r="N221" s="270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342165.75</v>
      </c>
      <c r="G222" s="18">
        <v>126034.83</v>
      </c>
      <c r="H222" s="18">
        <v>36530.14</v>
      </c>
      <c r="I222" s="18">
        <v>2254.86</v>
      </c>
      <c r="J222" s="18">
        <v>0</v>
      </c>
      <c r="K222" s="18">
        <v>2074</v>
      </c>
      <c r="L222" s="19">
        <f t="shared" si="2"/>
        <v>509059.58</v>
      </c>
      <c r="M222" s="8"/>
      <c r="N222" s="270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0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285864.46000000002</v>
      </c>
      <c r="G224" s="18">
        <v>126673.07</v>
      </c>
      <c r="H224" s="18">
        <v>126385.77</v>
      </c>
      <c r="I224" s="18">
        <v>195990.98</v>
      </c>
      <c r="J224" s="18">
        <v>7959.38</v>
      </c>
      <c r="K224" s="18">
        <v>345.93</v>
      </c>
      <c r="L224" s="19">
        <f t="shared" si="2"/>
        <v>743219.59000000008</v>
      </c>
      <c r="M224" s="8"/>
      <c r="N224" s="270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f>175.23+22361.74+7670.45+73704.1</f>
        <v>103911.52</v>
      </c>
      <c r="G225" s="18">
        <f>13.4+1617.43+19448.83</f>
        <v>21079.660000000003</v>
      </c>
      <c r="H225" s="18">
        <f>2557+16497.79+8889.45+527.21+1390</f>
        <v>29861.45</v>
      </c>
      <c r="I225" s="18">
        <f>7590.06+22926.98+0.01</f>
        <v>30517.05</v>
      </c>
      <c r="J225" s="18">
        <v>0</v>
      </c>
      <c r="K225" s="18">
        <v>128.41</v>
      </c>
      <c r="L225" s="19">
        <f t="shared" si="2"/>
        <v>185498.09</v>
      </c>
      <c r="M225" s="8"/>
      <c r="N225" s="270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0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0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4970819.379999999</v>
      </c>
      <c r="G228" s="41">
        <f>SUM(G214:G227)</f>
        <v>2089589.3500000003</v>
      </c>
      <c r="H228" s="41">
        <f>SUM(H214:H227)</f>
        <v>1319887.43</v>
      </c>
      <c r="I228" s="41">
        <f>SUM(I214:I227)</f>
        <v>402318.92</v>
      </c>
      <c r="J228" s="41">
        <f>SUM(J214:J227)</f>
        <v>42739.97</v>
      </c>
      <c r="K228" s="41">
        <f t="shared" si="3"/>
        <v>22516.66</v>
      </c>
      <c r="L228" s="41">
        <f t="shared" si="3"/>
        <v>8847871.709999999</v>
      </c>
      <c r="M228" s="8"/>
      <c r="N228" s="270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0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0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0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3138709.07</v>
      </c>
      <c r="G232" s="18">
        <v>1234068.3799999999</v>
      </c>
      <c r="H232" s="18">
        <v>26945.53</v>
      </c>
      <c r="I232" s="18">
        <v>179373.5</v>
      </c>
      <c r="J232" s="18">
        <v>48338.95</v>
      </c>
      <c r="K232" s="18">
        <v>5699.47</v>
      </c>
      <c r="L232" s="19">
        <f>SUM(F232:K232)</f>
        <v>4633134.8999999994</v>
      </c>
      <c r="M232" s="8"/>
      <c r="N232" s="270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976164.64</v>
      </c>
      <c r="G233" s="18">
        <v>459066.29</v>
      </c>
      <c r="H233" s="18">
        <f>502358.02+188.28</f>
        <v>502546.30000000005</v>
      </c>
      <c r="I233" s="18">
        <v>8748.84</v>
      </c>
      <c r="J233" s="18">
        <v>2692.65</v>
      </c>
      <c r="K233" s="18">
        <v>647.29999999999995</v>
      </c>
      <c r="L233" s="19">
        <f>SUM(F233:K233)</f>
        <v>1949866.02</v>
      </c>
      <c r="M233" s="8"/>
      <c r="N233" s="270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447408</v>
      </c>
      <c r="I234" s="18"/>
      <c r="J234" s="18"/>
      <c r="K234" s="18"/>
      <c r="L234" s="19">
        <f>SUM(F234:K234)</f>
        <v>447408</v>
      </c>
      <c r="M234" s="8"/>
      <c r="N234" s="270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f>264334.1+20802.9</f>
        <v>285137</v>
      </c>
      <c r="G235" s="18">
        <f>50190.48+4026.58</f>
        <v>54217.060000000005</v>
      </c>
      <c r="H235" s="18">
        <v>69801.960000000006</v>
      </c>
      <c r="I235" s="18">
        <v>58908.69</v>
      </c>
      <c r="J235" s="18">
        <v>5380.97</v>
      </c>
      <c r="K235" s="18">
        <v>32925</v>
      </c>
      <c r="L235" s="19">
        <f>SUM(F235:K235)</f>
        <v>506370.68</v>
      </c>
      <c r="M235" s="8"/>
      <c r="N235" s="270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0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372381.63+77252.96</f>
        <v>449634.59</v>
      </c>
      <c r="G237" s="18">
        <f>165460.33+28223.32</f>
        <v>193683.65</v>
      </c>
      <c r="H237" s="18">
        <f>14489.53+174.77</f>
        <v>14664.300000000001</v>
      </c>
      <c r="I237" s="18">
        <f>8490.51+4647.13</f>
        <v>13137.64</v>
      </c>
      <c r="J237" s="18">
        <f>0+1011.75</f>
        <v>1011.75</v>
      </c>
      <c r="K237" s="18">
        <f>325+514.5</f>
        <v>839.5</v>
      </c>
      <c r="L237" s="19">
        <f t="shared" ref="L237:L243" si="4">SUM(F237:K237)</f>
        <v>672971.43</v>
      </c>
      <c r="M237" s="8"/>
      <c r="N237" s="270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120276.75+16801.99+102051.05+54265.38</f>
        <v>293395.17</v>
      </c>
      <c r="G238" s="18">
        <f>1872.25+32430+3264.03+41649.38+22685.05</f>
        <v>101900.71</v>
      </c>
      <c r="H238" s="18">
        <f>20567.47+27707.45+736.05+660.6+161029.18</f>
        <v>210700.75</v>
      </c>
      <c r="I238" s="18">
        <f>3873.06+24962.94+12288.43+0.02</f>
        <v>41124.449999999997</v>
      </c>
      <c r="J238" s="18">
        <f>1525.58+34384.38</f>
        <v>35909.96</v>
      </c>
      <c r="K238" s="18">
        <v>0</v>
      </c>
      <c r="L238" s="19">
        <f t="shared" si="4"/>
        <v>683031.03999999992</v>
      </c>
      <c r="M238" s="8"/>
      <c r="N238" s="270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f>6540.66+206892.03+17816.64</f>
        <v>231249.33000000002</v>
      </c>
      <c r="G239" s="18">
        <f>529.27+99234.21+10397.71</f>
        <v>110161.19</v>
      </c>
      <c r="H239" s="18">
        <f>45728.61+76616.54+8444.01-188.28</f>
        <v>130600.87999999999</v>
      </c>
      <c r="I239" s="18">
        <f>13724.28+10888.45+1524.64</f>
        <v>26137.370000000003</v>
      </c>
      <c r="J239" s="18">
        <f>3309.78</f>
        <v>3309.78</v>
      </c>
      <c r="K239" s="18">
        <f>3049.73+10559.78+50.25</f>
        <v>13659.76</v>
      </c>
      <c r="L239" s="19">
        <f t="shared" si="4"/>
        <v>515118.31000000006</v>
      </c>
      <c r="M239" s="8"/>
      <c r="N239" s="270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311435.3</v>
      </c>
      <c r="G240" s="18">
        <v>142802.73000000001</v>
      </c>
      <c r="H240" s="18">
        <v>38737.64</v>
      </c>
      <c r="I240" s="18">
        <v>14502.59</v>
      </c>
      <c r="J240" s="18">
        <v>3200.98</v>
      </c>
      <c r="K240" s="18">
        <v>3310.27</v>
      </c>
      <c r="L240" s="19">
        <f t="shared" si="4"/>
        <v>513989.51000000007</v>
      </c>
      <c r="M240" s="8"/>
      <c r="N240" s="270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0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317558.69</v>
      </c>
      <c r="G242" s="18">
        <v>147020.69</v>
      </c>
      <c r="H242" s="18">
        <f>275553.31+0.01</f>
        <v>275553.32</v>
      </c>
      <c r="I242" s="18">
        <v>256563.4</v>
      </c>
      <c r="J242" s="18">
        <v>8873.9699999999993</v>
      </c>
      <c r="K242" s="18">
        <v>337.21</v>
      </c>
      <c r="L242" s="19">
        <f t="shared" si="4"/>
        <v>1005907.2799999999</v>
      </c>
      <c r="M242" s="8"/>
      <c r="N242" s="270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f>5587.52+27489.8+19439.97+34081.47+113521.26</f>
        <v>200120.02000000002</v>
      </c>
      <c r="G243" s="18">
        <f>406.22+1988.34+1454.13+1760.86+29955.67</f>
        <v>35565.22</v>
      </c>
      <c r="H243" s="18">
        <f>2415+10928.01+648.11+7920+21325+25410.39+0.02</f>
        <v>68646.530000000013</v>
      </c>
      <c r="I243" s="18">
        <f>9330.64+8273+35312.82</f>
        <v>52916.46</v>
      </c>
      <c r="J243" s="18">
        <v>0</v>
      </c>
      <c r="K243" s="18">
        <v>197.78</v>
      </c>
      <c r="L243" s="19">
        <f t="shared" si="4"/>
        <v>357446.01000000007</v>
      </c>
      <c r="M243" s="8"/>
      <c r="N243" s="270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0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0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6203403.8100000005</v>
      </c>
      <c r="G246" s="41">
        <f t="shared" si="5"/>
        <v>2478485.92</v>
      </c>
      <c r="H246" s="41">
        <f t="shared" si="5"/>
        <v>1785605.21</v>
      </c>
      <c r="I246" s="41">
        <f t="shared" si="5"/>
        <v>651412.93999999994</v>
      </c>
      <c r="J246" s="41">
        <f t="shared" si="5"/>
        <v>108719.01</v>
      </c>
      <c r="K246" s="41">
        <f t="shared" si="5"/>
        <v>57616.29</v>
      </c>
      <c r="L246" s="41">
        <f t="shared" si="5"/>
        <v>11285243.179999998</v>
      </c>
      <c r="M246" s="8"/>
      <c r="N246" s="270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0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0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0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0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55740.67</v>
      </c>
      <c r="I254" s="18"/>
      <c r="J254" s="18"/>
      <c r="K254" s="18"/>
      <c r="L254" s="19">
        <f t="shared" si="6"/>
        <v>55740.67</v>
      </c>
      <c r="M254" s="8"/>
      <c r="N254" s="270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55740.67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55740.67</v>
      </c>
      <c r="M255" s="8"/>
      <c r="N255" s="270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17327088.789999999</v>
      </c>
      <c r="G256" s="41">
        <f t="shared" si="8"/>
        <v>7291620.5</v>
      </c>
      <c r="H256" s="41">
        <f t="shared" si="8"/>
        <v>3826667.52</v>
      </c>
      <c r="I256" s="41">
        <f t="shared" si="8"/>
        <v>1497414.5799999998</v>
      </c>
      <c r="J256" s="41">
        <f t="shared" si="8"/>
        <v>199519.2</v>
      </c>
      <c r="K256" s="41">
        <f t="shared" si="8"/>
        <v>102832.37</v>
      </c>
      <c r="L256" s="41">
        <f t="shared" si="8"/>
        <v>30245142.960000001</v>
      </c>
      <c r="M256" s="8"/>
      <c r="N256" s="270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0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0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1800600</v>
      </c>
      <c r="L259" s="19">
        <f>SUM(F259:K259)</f>
        <v>1800600</v>
      </c>
      <c r="M259" s="8"/>
      <c r="N259" s="270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1055023.67</v>
      </c>
      <c r="L260" s="19">
        <f>SUM(F260:K260)</f>
        <v>1055023.67</v>
      </c>
      <c r="N260" s="181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181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181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181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181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773336.13</v>
      </c>
      <c r="L265" s="19">
        <f t="shared" si="9"/>
        <v>773336.13</v>
      </c>
      <c r="N265" s="181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181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181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3628959.8</v>
      </c>
      <c r="L269" s="41">
        <f t="shared" si="9"/>
        <v>3628959.8</v>
      </c>
      <c r="N269" s="181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17327088.789999999</v>
      </c>
      <c r="G270" s="42">
        <f t="shared" si="11"/>
        <v>7291620.5</v>
      </c>
      <c r="H270" s="42">
        <f t="shared" si="11"/>
        <v>3826667.52</v>
      </c>
      <c r="I270" s="42">
        <f t="shared" si="11"/>
        <v>1497414.5799999998</v>
      </c>
      <c r="J270" s="42">
        <f t="shared" si="11"/>
        <v>199519.2</v>
      </c>
      <c r="K270" s="42">
        <f t="shared" si="11"/>
        <v>3731792.17</v>
      </c>
      <c r="L270" s="42">
        <f t="shared" si="11"/>
        <v>33874102.759999998</v>
      </c>
      <c r="M270" s="8"/>
      <c r="N270" s="270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0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0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0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0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114688.16</v>
      </c>
      <c r="G275" s="18"/>
      <c r="H275" s="18">
        <f>2236.82+633.33</f>
        <v>2870.15</v>
      </c>
      <c r="I275" s="18">
        <f>16214.39+4180.8</f>
        <v>20395.189999999999</v>
      </c>
      <c r="J275" s="18">
        <v>12828.43</v>
      </c>
      <c r="K275" s="18"/>
      <c r="L275" s="19">
        <f>SUM(F275:K275)</f>
        <v>150781.93</v>
      </c>
      <c r="M275" s="8"/>
      <c r="N275" s="270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80080.86</v>
      </c>
      <c r="G276" s="18">
        <v>76316.320000000007</v>
      </c>
      <c r="H276" s="18"/>
      <c r="I276" s="18">
        <v>10208.16</v>
      </c>
      <c r="J276" s="18">
        <v>908.68</v>
      </c>
      <c r="K276" s="18"/>
      <c r="L276" s="19">
        <f>SUM(F276:K276)</f>
        <v>167514.01999999999</v>
      </c>
      <c r="M276" s="8"/>
      <c r="N276" s="270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0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>
        <v>148.06</v>
      </c>
      <c r="J278" s="18"/>
      <c r="K278" s="18"/>
      <c r="L278" s="19">
        <f>SUM(F278:K278)</f>
        <v>148.06</v>
      </c>
      <c r="M278" s="8"/>
      <c r="N278" s="270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0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>
        <v>534</v>
      </c>
      <c r="I280" s="18"/>
      <c r="J280" s="18"/>
      <c r="K280" s="18"/>
      <c r="L280" s="19">
        <f t="shared" ref="L280:L286" si="12">SUM(F280:K280)</f>
        <v>534</v>
      </c>
      <c r="M280" s="8"/>
      <c r="N280" s="270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f>26391.41+9061</f>
        <v>35452.410000000003</v>
      </c>
      <c r="G281" s="18">
        <v>168.47</v>
      </c>
      <c r="H281" s="18">
        <f>46530.13+10378.5-0.01</f>
        <v>56908.619999999995</v>
      </c>
      <c r="I281" s="18">
        <f>2267.62+1266.64+988.97</f>
        <v>4523.2300000000005</v>
      </c>
      <c r="J281" s="18">
        <v>168.5</v>
      </c>
      <c r="K281" s="18"/>
      <c r="L281" s="19">
        <f t="shared" si="12"/>
        <v>97221.23</v>
      </c>
      <c r="M281" s="8"/>
      <c r="N281" s="270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1790</v>
      </c>
      <c r="G282" s="18">
        <v>144.47999999999999</v>
      </c>
      <c r="H282" s="18">
        <v>1631.42</v>
      </c>
      <c r="I282" s="18">
        <v>1597.8</v>
      </c>
      <c r="J282" s="18"/>
      <c r="K282" s="18"/>
      <c r="L282" s="19">
        <f t="shared" si="12"/>
        <v>5163.7</v>
      </c>
      <c r="M282" s="8"/>
      <c r="N282" s="270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>
        <v>2503.3200000000002</v>
      </c>
      <c r="G286" s="18"/>
      <c r="H286" s="18"/>
      <c r="I286" s="18"/>
      <c r="J286" s="18"/>
      <c r="K286" s="18"/>
      <c r="L286" s="19">
        <f t="shared" si="12"/>
        <v>2503.3200000000002</v>
      </c>
      <c r="M286" s="8"/>
      <c r="N286" s="270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0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0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234514.75000000003</v>
      </c>
      <c r="G289" s="42">
        <f t="shared" si="13"/>
        <v>76629.27</v>
      </c>
      <c r="H289" s="42">
        <f t="shared" si="13"/>
        <v>61944.189999999995</v>
      </c>
      <c r="I289" s="42">
        <f t="shared" si="13"/>
        <v>36872.44</v>
      </c>
      <c r="J289" s="42">
        <f t="shared" si="13"/>
        <v>13905.61</v>
      </c>
      <c r="K289" s="42">
        <f t="shared" si="13"/>
        <v>0</v>
      </c>
      <c r="L289" s="41">
        <f t="shared" si="13"/>
        <v>423866.25999999995</v>
      </c>
      <c r="M289" s="8"/>
      <c r="N289" s="270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0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0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0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0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4698</v>
      </c>
      <c r="G294" s="18"/>
      <c r="H294" s="18">
        <v>63.96</v>
      </c>
      <c r="I294" s="18">
        <f>128.67+810</f>
        <v>938.67</v>
      </c>
      <c r="J294" s="18">
        <v>208.28</v>
      </c>
      <c r="K294" s="18"/>
      <c r="L294" s="19">
        <f>SUM(F294:K294)</f>
        <v>5908.91</v>
      </c>
      <c r="M294" s="8"/>
      <c r="N294" s="270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52337.86</v>
      </c>
      <c r="G295" s="18">
        <v>49746.78</v>
      </c>
      <c r="H295" s="18"/>
      <c r="I295" s="18">
        <v>4209.18</v>
      </c>
      <c r="J295" s="18">
        <v>193.91</v>
      </c>
      <c r="K295" s="18"/>
      <c r="L295" s="19">
        <f>SUM(F295:K295)</f>
        <v>106487.73000000001</v>
      </c>
      <c r="M295" s="8"/>
      <c r="N295" s="270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>
        <v>366.3</v>
      </c>
      <c r="J297" s="18"/>
      <c r="K297" s="18"/>
      <c r="L297" s="19">
        <f>SUM(F297:K297)</f>
        <v>366.3</v>
      </c>
      <c r="M297" s="8"/>
      <c r="N297" s="270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0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234.9</v>
      </c>
      <c r="G299" s="18"/>
      <c r="H299" s="18"/>
      <c r="I299" s="18"/>
      <c r="J299" s="18"/>
      <c r="K299" s="18"/>
      <c r="L299" s="19">
        <f t="shared" ref="L299:L305" si="14">SUM(F299:K299)</f>
        <v>234.9</v>
      </c>
      <c r="M299" s="8"/>
      <c r="N299" s="270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>
        <f>5220.36+6783</f>
        <v>12003.36</v>
      </c>
      <c r="I300" s="18">
        <f>1756.23+646.05+646.35</f>
        <v>3048.6299999999997</v>
      </c>
      <c r="J300" s="18">
        <v>130.5</v>
      </c>
      <c r="K300" s="18"/>
      <c r="L300" s="19">
        <f t="shared" si="14"/>
        <v>15182.49</v>
      </c>
      <c r="M300" s="8"/>
      <c r="N300" s="270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>
        <v>1263.5</v>
      </c>
      <c r="I301" s="18"/>
      <c r="J301" s="18"/>
      <c r="K301" s="18"/>
      <c r="L301" s="19">
        <f t="shared" si="14"/>
        <v>1263.5</v>
      </c>
      <c r="M301" s="8"/>
      <c r="N301" s="270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>
        <v>522.92999999999995</v>
      </c>
      <c r="J302" s="18"/>
      <c r="K302" s="18"/>
      <c r="L302" s="19">
        <f t="shared" si="14"/>
        <v>522.92999999999995</v>
      </c>
      <c r="M302" s="8"/>
      <c r="N302" s="270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>
        <v>6623</v>
      </c>
      <c r="J304" s="18"/>
      <c r="K304" s="18"/>
      <c r="L304" s="19">
        <f t="shared" si="14"/>
        <v>6623</v>
      </c>
      <c r="M304" s="8"/>
      <c r="N304" s="270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0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0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57270.76</v>
      </c>
      <c r="G308" s="42">
        <f t="shared" si="15"/>
        <v>49746.78</v>
      </c>
      <c r="H308" s="42">
        <f t="shared" si="15"/>
        <v>13330.82</v>
      </c>
      <c r="I308" s="42">
        <f t="shared" si="15"/>
        <v>15708.710000000001</v>
      </c>
      <c r="J308" s="42">
        <f t="shared" si="15"/>
        <v>532.69000000000005</v>
      </c>
      <c r="K308" s="42">
        <f t="shared" si="15"/>
        <v>0</v>
      </c>
      <c r="L308" s="41">
        <f t="shared" si="15"/>
        <v>136589.76000000001</v>
      </c>
      <c r="N308" s="181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0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0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0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0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7236</v>
      </c>
      <c r="G313" s="18"/>
      <c r="H313" s="18">
        <f>98.51+600</f>
        <v>698.51</v>
      </c>
      <c r="I313" s="18">
        <f>198.19+201</f>
        <v>399.19</v>
      </c>
      <c r="J313" s="18">
        <f>320.8+31837</f>
        <v>32157.8</v>
      </c>
      <c r="K313" s="18"/>
      <c r="L313" s="19">
        <f>SUM(F313:K313)</f>
        <v>40491.5</v>
      </c>
      <c r="M313" s="8"/>
      <c r="N313" s="270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64340.15</v>
      </c>
      <c r="G314" s="18">
        <v>61154.879999999997</v>
      </c>
      <c r="H314" s="18"/>
      <c r="I314" s="18">
        <v>5174.4399999999996</v>
      </c>
      <c r="J314" s="18">
        <v>238.38</v>
      </c>
      <c r="K314" s="18"/>
      <c r="L314" s="19">
        <f>SUM(F314:K314)</f>
        <v>130907.85</v>
      </c>
      <c r="M314" s="8"/>
      <c r="N314" s="270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>
        <v>13555.29</v>
      </c>
      <c r="J316" s="18"/>
      <c r="K316" s="18"/>
      <c r="L316" s="19">
        <f>SUM(F316:K316)</f>
        <v>13555.29</v>
      </c>
      <c r="M316" s="8"/>
      <c r="N316" s="270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0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f>361.8+600</f>
        <v>961.8</v>
      </c>
      <c r="G318" s="18">
        <v>45.34</v>
      </c>
      <c r="H318" s="18">
        <v>15540</v>
      </c>
      <c r="I318" s="18"/>
      <c r="J318" s="18"/>
      <c r="K318" s="18"/>
      <c r="L318" s="19">
        <f t="shared" ref="L318:L324" si="16">SUM(F318:K318)</f>
        <v>16547.14</v>
      </c>
      <c r="M318" s="8"/>
      <c r="N318" s="270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>
        <f>8040.55+8338.5</f>
        <v>16379.05</v>
      </c>
      <c r="I319" s="18">
        <f>2705+201+794.58</f>
        <v>3700.58</v>
      </c>
      <c r="J319" s="18">
        <v>201</v>
      </c>
      <c r="K319" s="18"/>
      <c r="L319" s="19">
        <f t="shared" si="16"/>
        <v>20280.629999999997</v>
      </c>
      <c r="M319" s="8"/>
      <c r="N319" s="270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>
        <v>1946.08</v>
      </c>
      <c r="I320" s="18"/>
      <c r="J320" s="18"/>
      <c r="K320" s="18"/>
      <c r="L320" s="19">
        <f t="shared" si="16"/>
        <v>1946.08</v>
      </c>
      <c r="M320" s="8"/>
      <c r="N320" s="270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>
        <v>210</v>
      </c>
      <c r="J321" s="18"/>
      <c r="K321" s="18"/>
      <c r="L321" s="19">
        <f t="shared" si="16"/>
        <v>210</v>
      </c>
      <c r="M321" s="8"/>
      <c r="N321" s="270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>
        <v>6250</v>
      </c>
      <c r="I323" s="18"/>
      <c r="J323" s="18"/>
      <c r="K323" s="18"/>
      <c r="L323" s="19">
        <f t="shared" si="16"/>
        <v>6250</v>
      </c>
      <c r="M323" s="8"/>
      <c r="N323" s="270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0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0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72537.95</v>
      </c>
      <c r="G327" s="42">
        <f t="shared" si="17"/>
        <v>61200.219999999994</v>
      </c>
      <c r="H327" s="42">
        <f t="shared" si="17"/>
        <v>40813.64</v>
      </c>
      <c r="I327" s="42">
        <f t="shared" si="17"/>
        <v>23039.5</v>
      </c>
      <c r="J327" s="42">
        <f t="shared" si="17"/>
        <v>32597.18</v>
      </c>
      <c r="K327" s="42">
        <f t="shared" si="17"/>
        <v>0</v>
      </c>
      <c r="L327" s="41">
        <f t="shared" si="17"/>
        <v>230188.49000000002</v>
      </c>
      <c r="M327" s="8"/>
      <c r="N327" s="270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0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0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0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0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41242.5</v>
      </c>
      <c r="G332" s="18">
        <v>28525.17</v>
      </c>
      <c r="H332" s="18">
        <v>6326.73</v>
      </c>
      <c r="I332" s="18">
        <v>3938.15</v>
      </c>
      <c r="J332" s="18">
        <v>1495.65</v>
      </c>
      <c r="K332" s="18">
        <v>1881.24</v>
      </c>
      <c r="L332" s="19">
        <f t="shared" si="18"/>
        <v>83409.439999999988</v>
      </c>
      <c r="M332" s="8"/>
      <c r="N332" s="270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41242.5</v>
      </c>
      <c r="G336" s="41">
        <f t="shared" si="19"/>
        <v>28525.17</v>
      </c>
      <c r="H336" s="41">
        <f t="shared" si="19"/>
        <v>6326.73</v>
      </c>
      <c r="I336" s="41">
        <f t="shared" si="19"/>
        <v>3938.15</v>
      </c>
      <c r="J336" s="41">
        <f t="shared" si="19"/>
        <v>1495.65</v>
      </c>
      <c r="K336" s="41">
        <f t="shared" si="19"/>
        <v>1881.24</v>
      </c>
      <c r="L336" s="41">
        <f t="shared" si="18"/>
        <v>83409.439999999988</v>
      </c>
      <c r="M336" s="8"/>
      <c r="N336" s="270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405565.96</v>
      </c>
      <c r="G337" s="41">
        <f t="shared" si="20"/>
        <v>216101.44</v>
      </c>
      <c r="H337" s="41">
        <f t="shared" si="20"/>
        <v>122415.37999999999</v>
      </c>
      <c r="I337" s="41">
        <f t="shared" si="20"/>
        <v>79558.799999999988</v>
      </c>
      <c r="J337" s="41">
        <f t="shared" si="20"/>
        <v>48531.130000000005</v>
      </c>
      <c r="K337" s="41">
        <f t="shared" si="20"/>
        <v>1881.24</v>
      </c>
      <c r="L337" s="41">
        <f t="shared" si="20"/>
        <v>874053.95</v>
      </c>
      <c r="M337" s="8"/>
      <c r="N337" s="270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0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0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0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17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0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0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0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0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0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405565.96</v>
      </c>
      <c r="G351" s="41">
        <f>G337</f>
        <v>216101.44</v>
      </c>
      <c r="H351" s="41">
        <f>H337</f>
        <v>122415.37999999999</v>
      </c>
      <c r="I351" s="41">
        <f>I337</f>
        <v>79558.799999999988</v>
      </c>
      <c r="J351" s="41">
        <f>J337</f>
        <v>48531.130000000005</v>
      </c>
      <c r="K351" s="47">
        <f>K337+K350</f>
        <v>1881.24</v>
      </c>
      <c r="L351" s="41">
        <f>L337+L350</f>
        <v>874053.95</v>
      </c>
      <c r="M351" s="52"/>
      <c r="N351" s="217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0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0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0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0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>
        <v>185924.83</v>
      </c>
      <c r="I357" s="18">
        <v>10526.95</v>
      </c>
      <c r="J357" s="18">
        <v>4188.6099999999997</v>
      </c>
      <c r="K357" s="18"/>
      <c r="L357" s="13">
        <f>SUM(F357:K357)</f>
        <v>200640.38999999998</v>
      </c>
      <c r="N357" s="181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>
        <v>143995.19</v>
      </c>
      <c r="I358" s="18">
        <v>8152.92</v>
      </c>
      <c r="J358" s="18">
        <v>3244</v>
      </c>
      <c r="K358" s="18"/>
      <c r="L358" s="19">
        <f>SUM(F358:K358)</f>
        <v>155392.11000000002</v>
      </c>
      <c r="M358" s="8"/>
      <c r="N358" s="270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>
        <v>221785.7</v>
      </c>
      <c r="I359" s="18">
        <f>12557.37+0.01</f>
        <v>12557.380000000001</v>
      </c>
      <c r="J359" s="18">
        <v>4996.5</v>
      </c>
      <c r="K359" s="18"/>
      <c r="L359" s="19">
        <f>SUM(F359:K359)</f>
        <v>239339.58000000002</v>
      </c>
      <c r="M359" s="8"/>
      <c r="N359" s="270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0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551705.72</v>
      </c>
      <c r="I361" s="47">
        <f t="shared" si="22"/>
        <v>31237.250000000004</v>
      </c>
      <c r="J361" s="47">
        <f t="shared" si="22"/>
        <v>12429.11</v>
      </c>
      <c r="K361" s="47">
        <f t="shared" si="22"/>
        <v>0</v>
      </c>
      <c r="L361" s="47">
        <f t="shared" si="22"/>
        <v>595372.08000000007</v>
      </c>
      <c r="M361" s="8"/>
      <c r="N361" s="270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0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0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0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9102.8700000000008</v>
      </c>
      <c r="G366" s="18">
        <v>7050</v>
      </c>
      <c r="H366" s="18">
        <v>10858.61</v>
      </c>
      <c r="I366" s="56">
        <f>SUM(F366:H366)</f>
        <v>27011.480000000003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10526.95-9102.87+0.01</f>
        <v>1424.09</v>
      </c>
      <c r="G367" s="63">
        <f>8152.92-7050</f>
        <v>1102.92</v>
      </c>
      <c r="H367" s="63">
        <f>12557.37-10858.61</f>
        <v>1698.7600000000002</v>
      </c>
      <c r="I367" s="56">
        <f>SUM(F367:H367)</f>
        <v>4225.7700000000004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10526.960000000001</v>
      </c>
      <c r="G368" s="47">
        <f>SUM(G366:G367)</f>
        <v>8152.92</v>
      </c>
      <c r="H368" s="47">
        <f>SUM(H366:H367)</f>
        <v>12557.37</v>
      </c>
      <c r="I368" s="47">
        <f>SUM(I366:I367)</f>
        <v>31237.250000000004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0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0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0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0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0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>
        <v>205014.35</v>
      </c>
      <c r="I374" s="18"/>
      <c r="J374" s="18"/>
      <c r="K374" s="18"/>
      <c r="L374" s="13">
        <f t="shared" ref="L374:L380" si="23">SUM(F374:K374)</f>
        <v>205014.35</v>
      </c>
      <c r="M374" s="8"/>
      <c r="N374" s="270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>
        <v>116182.12</v>
      </c>
      <c r="I375" s="18"/>
      <c r="J375" s="18"/>
      <c r="K375" s="18"/>
      <c r="L375" s="13">
        <f t="shared" si="23"/>
        <v>116182.12</v>
      </c>
      <c r="M375" s="8"/>
      <c r="N375" s="270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>
        <v>27863.96</v>
      </c>
      <c r="G377" s="18">
        <v>5076.38</v>
      </c>
      <c r="H377" s="18">
        <v>1228878.01</v>
      </c>
      <c r="I377" s="18">
        <v>740.51</v>
      </c>
      <c r="J377" s="18"/>
      <c r="K377" s="18"/>
      <c r="L377" s="13">
        <f t="shared" si="23"/>
        <v>1262558.8600000001</v>
      </c>
      <c r="M377" s="8"/>
      <c r="N377" s="270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>
        <v>242847.69</v>
      </c>
      <c r="K379" s="18"/>
      <c r="L379" s="13">
        <f t="shared" si="23"/>
        <v>242847.69</v>
      </c>
      <c r="M379" s="8"/>
      <c r="N379" s="270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0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27863.96</v>
      </c>
      <c r="G381" s="139">
        <f t="shared" ref="G381:L381" si="24">SUM(G373:G380)</f>
        <v>5076.38</v>
      </c>
      <c r="H381" s="139">
        <f t="shared" si="24"/>
        <v>1550074.48</v>
      </c>
      <c r="I381" s="41">
        <f t="shared" si="24"/>
        <v>740.51</v>
      </c>
      <c r="J381" s="47">
        <f t="shared" si="24"/>
        <v>242847.69</v>
      </c>
      <c r="K381" s="47">
        <f t="shared" si="24"/>
        <v>0</v>
      </c>
      <c r="L381" s="47">
        <f t="shared" si="24"/>
        <v>1826603.02</v>
      </c>
      <c r="M381" s="8"/>
      <c r="N381" s="270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0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0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0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0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>
        <v>773336.13</v>
      </c>
      <c r="H388" s="18">
        <v>2559.14</v>
      </c>
      <c r="I388" s="18"/>
      <c r="J388" s="24" t="s">
        <v>289</v>
      </c>
      <c r="K388" s="24" t="s">
        <v>289</v>
      </c>
      <c r="L388" s="56">
        <f t="shared" si="25"/>
        <v>775895.27</v>
      </c>
      <c r="M388" s="8"/>
      <c r="N388" s="270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>
        <v>-1.23</v>
      </c>
      <c r="I391" s="18"/>
      <c r="J391" s="24" t="s">
        <v>289</v>
      </c>
      <c r="K391" s="24" t="s">
        <v>289</v>
      </c>
      <c r="L391" s="56">
        <f t="shared" si="25"/>
        <v>-1.23</v>
      </c>
      <c r="M391" s="8"/>
      <c r="N391" s="270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773336.13</v>
      </c>
      <c r="H392" s="139">
        <f>SUM(H386:H391)</f>
        <v>2557.91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775894.04</v>
      </c>
      <c r="M392" s="8"/>
      <c r="N392" s="270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0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0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0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480.81</v>
      </c>
      <c r="I396" s="18"/>
      <c r="J396" s="24" t="s">
        <v>289</v>
      </c>
      <c r="K396" s="24" t="s">
        <v>289</v>
      </c>
      <c r="L396" s="56">
        <f t="shared" si="26"/>
        <v>480.81</v>
      </c>
      <c r="M396" s="8"/>
      <c r="N396" s="270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0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480.81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480.81</v>
      </c>
      <c r="M400" s="8"/>
      <c r="N400" s="270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0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0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773336.13</v>
      </c>
      <c r="H407" s="47">
        <f>H392+H400+H406</f>
        <v>3038.72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776374.85000000009</v>
      </c>
      <c r="M407" s="8"/>
      <c r="N407" s="270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0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0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0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0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0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17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0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0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0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0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0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0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181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0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0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0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0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0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0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0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1965506.93</v>
      </c>
      <c r="G439" s="18">
        <f>254302.34+49998.77</f>
        <v>304301.11</v>
      </c>
      <c r="H439" s="18"/>
      <c r="I439" s="56">
        <f t="shared" si="33"/>
        <v>2269808.04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>
        <v>362187.36</v>
      </c>
      <c r="G441" s="18"/>
      <c r="H441" s="18"/>
      <c r="I441" s="56">
        <f t="shared" si="33"/>
        <v>362187.36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2327694.29</v>
      </c>
      <c r="G445" s="13">
        <f>SUM(G438:G444)</f>
        <v>304301.11</v>
      </c>
      <c r="H445" s="13">
        <f>SUM(H438:H444)</f>
        <v>0</v>
      </c>
      <c r="I445" s="13">
        <f>SUM(I438:I444)</f>
        <v>2631995.4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0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0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17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2327694.29</v>
      </c>
      <c r="G458" s="18">
        <v>304301.11</v>
      </c>
      <c r="H458" s="18"/>
      <c r="I458" s="56">
        <f t="shared" si="34"/>
        <v>2631995.4</v>
      </c>
      <c r="J458" s="24" t="s">
        <v>289</v>
      </c>
      <c r="K458" s="24" t="s">
        <v>289</v>
      </c>
      <c r="L458" s="24" t="s">
        <v>289</v>
      </c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2327694.29</v>
      </c>
      <c r="G459" s="83">
        <f>SUM(G453:G458)</f>
        <v>304301.11</v>
      </c>
      <c r="H459" s="83">
        <f>SUM(H453:H458)</f>
        <v>0</v>
      </c>
      <c r="I459" s="83">
        <f>SUM(I453:I458)</f>
        <v>2631995.4</v>
      </c>
      <c r="J459" s="24" t="s">
        <v>289</v>
      </c>
      <c r="K459" s="24" t="s">
        <v>289</v>
      </c>
      <c r="L459" s="24" t="s">
        <v>289</v>
      </c>
      <c r="N459" s="217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2327694.29</v>
      </c>
      <c r="G460" s="42">
        <f>G451+G459</f>
        <v>304301.11</v>
      </c>
      <c r="H460" s="42">
        <f>H451+H459</f>
        <v>0</v>
      </c>
      <c r="I460" s="42">
        <f>I451+I459</f>
        <v>2631995.4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17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17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17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4005736.98</v>
      </c>
      <c r="G464" s="18">
        <v>12150.07</v>
      </c>
      <c r="H464" s="18">
        <v>373779.45</v>
      </c>
      <c r="I464" s="18">
        <v>2041186.05</v>
      </c>
      <c r="J464" s="18">
        <v>1855620.55</v>
      </c>
      <c r="K464" s="24" t="s">
        <v>289</v>
      </c>
      <c r="L464" s="24" t="s">
        <v>289</v>
      </c>
      <c r="N464" s="217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34496721.209999993</v>
      </c>
      <c r="G467" s="18">
        <f>G192</f>
        <v>595848.32999999996</v>
      </c>
      <c r="H467" s="18">
        <f>H192</f>
        <v>1026003.1699999998</v>
      </c>
      <c r="I467" s="18">
        <f>I192</f>
        <v>24807.5</v>
      </c>
      <c r="J467" s="18">
        <f>J192</f>
        <v>776374.85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34496721.209999993</v>
      </c>
      <c r="G469" s="53">
        <f>SUM(G467:G468)</f>
        <v>595848.32999999996</v>
      </c>
      <c r="H469" s="53">
        <f>SUM(H467:H468)</f>
        <v>1026003.1699999998</v>
      </c>
      <c r="I469" s="53">
        <f>SUM(I467:I468)</f>
        <v>24807.5</v>
      </c>
      <c r="J469" s="53">
        <f>SUM(J467:J468)</f>
        <v>776374.85</v>
      </c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33874102.759999998</v>
      </c>
      <c r="G471" s="18">
        <f>L361</f>
        <v>595372.08000000007</v>
      </c>
      <c r="H471" s="18">
        <f>L351</f>
        <v>874053.95</v>
      </c>
      <c r="I471" s="18">
        <f>L381</f>
        <v>1826603.02</v>
      </c>
      <c r="J471" s="18">
        <f>L433</f>
        <v>0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v>0.01</v>
      </c>
      <c r="G472" s="18"/>
      <c r="H472" s="18"/>
      <c r="I472" s="18"/>
      <c r="J472" s="18"/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33874102.769999996</v>
      </c>
      <c r="G473" s="53">
        <f>SUM(G471:G472)</f>
        <v>595372.08000000007</v>
      </c>
      <c r="H473" s="53">
        <f>SUM(H471:H472)</f>
        <v>874053.95</v>
      </c>
      <c r="I473" s="53">
        <f>SUM(I471:I472)</f>
        <v>1826603.02</v>
      </c>
      <c r="J473" s="53">
        <f>SUM(J471:J472)</f>
        <v>0</v>
      </c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4628355.4199999943</v>
      </c>
      <c r="G475" s="53">
        <f>(G464+G469)- G473</f>
        <v>12626.319999999832</v>
      </c>
      <c r="H475" s="53">
        <f>(H464+H469)- H473</f>
        <v>525728.66999999993</v>
      </c>
      <c r="I475" s="53">
        <f>(I464+I469)- I473</f>
        <v>239390.53000000003</v>
      </c>
      <c r="J475" s="53">
        <f>(J464+J469)- J473</f>
        <v>2631995.4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17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17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17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17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17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17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17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17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17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17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10</v>
      </c>
      <c r="G489" s="154">
        <v>5</v>
      </c>
      <c r="H489" s="154">
        <v>5</v>
      </c>
      <c r="I489" s="154">
        <v>20</v>
      </c>
      <c r="J489" s="154"/>
      <c r="K489" s="24" t="s">
        <v>289</v>
      </c>
      <c r="L489" s="24" t="s">
        <v>289</v>
      </c>
      <c r="N489" s="217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 t="s">
        <v>911</v>
      </c>
      <c r="H490" s="155" t="s">
        <v>913</v>
      </c>
      <c r="I490" s="155" t="s">
        <v>915</v>
      </c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 t="s">
        <v>912</v>
      </c>
      <c r="H491" s="155" t="s">
        <v>914</v>
      </c>
      <c r="I491" s="155" t="s">
        <v>916</v>
      </c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4900000</v>
      </c>
      <c r="G492" s="18">
        <v>739000</v>
      </c>
      <c r="H492" s="18">
        <v>678550</v>
      </c>
      <c r="I492" s="18">
        <v>23650600</v>
      </c>
      <c r="J492" s="18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 t="s">
        <v>917</v>
      </c>
      <c r="G493" s="18" t="s">
        <v>917</v>
      </c>
      <c r="H493" s="18">
        <v>2.23</v>
      </c>
      <c r="I493" s="18" t="s">
        <v>917</v>
      </c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340000</v>
      </c>
      <c r="G494" s="18">
        <v>145000</v>
      </c>
      <c r="H494" s="18">
        <v>540000</v>
      </c>
      <c r="I494" s="18">
        <v>23650600</v>
      </c>
      <c r="J494" s="18"/>
      <c r="K494" s="53">
        <f>SUM(F494:J494)</f>
        <v>24675600</v>
      </c>
      <c r="L494" s="24" t="s">
        <v>289</v>
      </c>
      <c r="N494" s="217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>
        <v>0</v>
      </c>
      <c r="H495" s="18">
        <v>0</v>
      </c>
      <c r="I495" s="18">
        <v>0</v>
      </c>
      <c r="J495" s="18"/>
      <c r="K495" s="53">
        <f t="shared" ref="K495:K502" si="35">SUM(F495:J495)</f>
        <v>0</v>
      </c>
      <c r="L495" s="24" t="s">
        <v>289</v>
      </c>
      <c r="N495" s="217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340000</v>
      </c>
      <c r="G496" s="18">
        <v>145000</v>
      </c>
      <c r="H496" s="18">
        <v>135000</v>
      </c>
      <c r="I496" s="18">
        <v>1180600</v>
      </c>
      <c r="J496" s="18"/>
      <c r="K496" s="53">
        <f t="shared" si="35"/>
        <v>1800600</v>
      </c>
      <c r="L496" s="24" t="s">
        <v>289</v>
      </c>
      <c r="N496" s="217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0</v>
      </c>
      <c r="G497" s="204">
        <v>0</v>
      </c>
      <c r="H497" s="204">
        <f>H494+H495-H496</f>
        <v>405000</v>
      </c>
      <c r="I497" s="204">
        <f>I494+I495-I496</f>
        <v>22470000</v>
      </c>
      <c r="J497" s="204"/>
      <c r="K497" s="205">
        <f t="shared" si="35"/>
        <v>22875000</v>
      </c>
      <c r="L497" s="206" t="s">
        <v>289</v>
      </c>
      <c r="N497" s="217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0</v>
      </c>
      <c r="G498" s="18">
        <v>0</v>
      </c>
      <c r="H498" s="18"/>
      <c r="I498" s="18">
        <v>8952550</v>
      </c>
      <c r="J498" s="18"/>
      <c r="K498" s="53">
        <f t="shared" si="35"/>
        <v>8952550</v>
      </c>
      <c r="L498" s="24" t="s">
        <v>289</v>
      </c>
      <c r="N498" s="217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405000</v>
      </c>
      <c r="I499" s="42">
        <f>SUM(I497:I498)</f>
        <v>31422550</v>
      </c>
      <c r="J499" s="42">
        <f>SUM(J497:J498)</f>
        <v>0</v>
      </c>
      <c r="K499" s="42">
        <f t="shared" si="35"/>
        <v>31827550</v>
      </c>
      <c r="L499" s="45" t="s">
        <v>289</v>
      </c>
      <c r="N499" s="217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0</v>
      </c>
      <c r="G500" s="204">
        <v>0</v>
      </c>
      <c r="H500" s="204">
        <v>135000</v>
      </c>
      <c r="I500" s="204">
        <v>1185000</v>
      </c>
      <c r="J500" s="204"/>
      <c r="K500" s="205">
        <f t="shared" si="35"/>
        <v>1320000</v>
      </c>
      <c r="L500" s="206" t="s">
        <v>289</v>
      </c>
      <c r="N500" s="217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0</v>
      </c>
      <c r="G501" s="18">
        <v>0</v>
      </c>
      <c r="H501" s="18">
        <f>7424+7425</f>
        <v>14849</v>
      </c>
      <c r="I501" s="18">
        <f>453850+453850</f>
        <v>907700</v>
      </c>
      <c r="J501" s="18"/>
      <c r="K501" s="53">
        <f t="shared" si="35"/>
        <v>922549</v>
      </c>
      <c r="L501" s="24" t="s">
        <v>289</v>
      </c>
      <c r="N501" s="217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149849</v>
      </c>
      <c r="I502" s="42">
        <f>SUM(I500:I501)</f>
        <v>2092700</v>
      </c>
      <c r="J502" s="42">
        <f>SUM(J500:J501)</f>
        <v>0</v>
      </c>
      <c r="K502" s="42">
        <f t="shared" si="35"/>
        <v>2242549</v>
      </c>
      <c r="L502" s="45" t="s">
        <v>289</v>
      </c>
      <c r="N502" s="217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17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17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>
        <v>2077294</v>
      </c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17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17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17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17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17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17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17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80080.86+1092243.06</f>
        <v>1172323.9200000002</v>
      </c>
      <c r="G520" s="18">
        <v>583198.78</v>
      </c>
      <c r="H520" s="18">
        <f>56531.36+15199.99</f>
        <v>71731.350000000006</v>
      </c>
      <c r="I520" s="18">
        <f>10621.66+3919.19</f>
        <v>14540.85</v>
      </c>
      <c r="J520" s="18">
        <f>908.68+619.57</f>
        <v>1528.25</v>
      </c>
      <c r="K520" s="18"/>
      <c r="L520" s="88">
        <f>SUM(F520:K520)</f>
        <v>1843323.1500000004</v>
      </c>
      <c r="N520" s="217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>52337.86+817814.36</f>
        <v>870152.22</v>
      </c>
      <c r="G521" s="18">
        <f>439323.59</f>
        <v>439323.59</v>
      </c>
      <c r="H521" s="18">
        <f>36816.07+740216.48</f>
        <v>777032.54999999993</v>
      </c>
      <c r="I521" s="18">
        <f>4479.43+6593.26</f>
        <v>11072.69</v>
      </c>
      <c r="J521" s="18">
        <f>193.91+199.24</f>
        <v>393.15</v>
      </c>
      <c r="K521" s="18"/>
      <c r="L521" s="88">
        <f>SUM(F521:K521)</f>
        <v>2097974.1999999997</v>
      </c>
      <c r="N521" s="217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64340.15+735017.11</f>
        <v>799357.26</v>
      </c>
      <c r="G522" s="18">
        <v>333814.44</v>
      </c>
      <c r="H522" s="18">
        <f>45258.86+417073.87</f>
        <v>462332.73</v>
      </c>
      <c r="I522" s="18">
        <f>5506.66+6205.36</f>
        <v>11712.02</v>
      </c>
      <c r="J522" s="18">
        <f>238.38+1113.95</f>
        <v>1352.33</v>
      </c>
      <c r="K522" s="18"/>
      <c r="L522" s="88">
        <f>SUM(F522:K522)</f>
        <v>1608568.78</v>
      </c>
      <c r="N522" s="217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2841833.4000000004</v>
      </c>
      <c r="G523" s="108">
        <f t="shared" ref="G523:L523" si="36">SUM(G520:G522)</f>
        <v>1356336.81</v>
      </c>
      <c r="H523" s="108">
        <f t="shared" si="36"/>
        <v>1311096.6299999999</v>
      </c>
      <c r="I523" s="108">
        <f t="shared" si="36"/>
        <v>37325.56</v>
      </c>
      <c r="J523" s="108">
        <f t="shared" si="36"/>
        <v>3273.73</v>
      </c>
      <c r="K523" s="108">
        <f t="shared" si="36"/>
        <v>0</v>
      </c>
      <c r="L523" s="89">
        <f t="shared" si="36"/>
        <v>5549866.1299999999</v>
      </c>
      <c r="N523" s="217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17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246566.14</v>
      </c>
      <c r="G525" s="18">
        <v>128129.69</v>
      </c>
      <c r="H525" s="18">
        <v>120635.46</v>
      </c>
      <c r="I525" s="18">
        <v>2531.7399999999998</v>
      </c>
      <c r="J525" s="18">
        <v>1964.93</v>
      </c>
      <c r="K525" s="18"/>
      <c r="L525" s="88">
        <f>SUM(F525:K525)</f>
        <v>499827.96</v>
      </c>
      <c r="M525" s="8"/>
      <c r="N525" s="270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161146.42000000001</v>
      </c>
      <c r="G526" s="18">
        <v>83740.78</v>
      </c>
      <c r="H526" s="18">
        <v>78842.83</v>
      </c>
      <c r="I526" s="18">
        <v>1654.65</v>
      </c>
      <c r="J526" s="18">
        <v>1284.2</v>
      </c>
      <c r="K526" s="18"/>
      <c r="L526" s="88">
        <f>SUM(F526:K526)</f>
        <v>326668.88000000006</v>
      </c>
      <c r="M526" s="8"/>
      <c r="N526" s="270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198101.05</v>
      </c>
      <c r="G527" s="18">
        <v>102957.1</v>
      </c>
      <c r="H527" s="18">
        <v>96923.33</v>
      </c>
      <c r="I527" s="18">
        <v>2034.1</v>
      </c>
      <c r="J527" s="18">
        <v>1578.7</v>
      </c>
      <c r="K527" s="18"/>
      <c r="L527" s="88">
        <f>SUM(F527:K527)</f>
        <v>401594.28</v>
      </c>
      <c r="M527" s="8"/>
      <c r="N527" s="270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605813.6100000001</v>
      </c>
      <c r="G528" s="89">
        <f t="shared" ref="G528:L528" si="37">SUM(G525:G527)</f>
        <v>314827.57</v>
      </c>
      <c r="H528" s="89">
        <f t="shared" si="37"/>
        <v>296401.62</v>
      </c>
      <c r="I528" s="89">
        <f t="shared" si="37"/>
        <v>6220.49</v>
      </c>
      <c r="J528" s="89">
        <f t="shared" si="37"/>
        <v>4827.83</v>
      </c>
      <c r="K528" s="89">
        <f t="shared" si="37"/>
        <v>0</v>
      </c>
      <c r="L528" s="89">
        <f t="shared" si="37"/>
        <v>1228091.1200000001</v>
      </c>
      <c r="M528" s="8"/>
      <c r="N528" s="270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0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53577.72</v>
      </c>
      <c r="G530" s="18">
        <v>27759.68</v>
      </c>
      <c r="H530" s="18">
        <v>5298.27</v>
      </c>
      <c r="I530" s="18">
        <v>220.5</v>
      </c>
      <c r="J530" s="18"/>
      <c r="K530" s="18">
        <v>805.66</v>
      </c>
      <c r="L530" s="88">
        <f>SUM(F530:K530)</f>
        <v>87661.83</v>
      </c>
      <c r="M530" s="8"/>
      <c r="N530" s="270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35016.400000000001</v>
      </c>
      <c r="G531" s="18">
        <v>18142.689999999999</v>
      </c>
      <c r="H531" s="18">
        <v>3462.75</v>
      </c>
      <c r="I531" s="18">
        <v>144.11000000000001</v>
      </c>
      <c r="J531" s="18"/>
      <c r="K531" s="18">
        <v>526.54999999999995</v>
      </c>
      <c r="L531" s="88">
        <f>SUM(F531:K531)</f>
        <v>57292.5</v>
      </c>
      <c r="M531" s="8"/>
      <c r="N531" s="270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43046.48</v>
      </c>
      <c r="G532" s="18">
        <v>22303.23</v>
      </c>
      <c r="H532" s="18">
        <v>4256.84</v>
      </c>
      <c r="I532" s="18">
        <v>177.16</v>
      </c>
      <c r="J532" s="18"/>
      <c r="K532" s="18">
        <v>647.29999999999995</v>
      </c>
      <c r="L532" s="88">
        <f>SUM(F532:K532)</f>
        <v>70431.010000000009</v>
      </c>
      <c r="M532" s="8"/>
      <c r="N532" s="270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131640.6</v>
      </c>
      <c r="G533" s="89">
        <f t="shared" ref="G533:L533" si="38">SUM(G530:G532)</f>
        <v>68205.599999999991</v>
      </c>
      <c r="H533" s="89">
        <f t="shared" si="38"/>
        <v>13017.86</v>
      </c>
      <c r="I533" s="89">
        <f t="shared" si="38"/>
        <v>541.77</v>
      </c>
      <c r="J533" s="89">
        <f t="shared" si="38"/>
        <v>0</v>
      </c>
      <c r="K533" s="89">
        <f t="shared" si="38"/>
        <v>1979.51</v>
      </c>
      <c r="L533" s="89">
        <f t="shared" si="38"/>
        <v>215385.34000000003</v>
      </c>
      <c r="M533" s="8"/>
      <c r="N533" s="270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0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157.83000000000001</v>
      </c>
      <c r="I535" s="18"/>
      <c r="J535" s="18"/>
      <c r="K535" s="18"/>
      <c r="L535" s="88">
        <f>SUM(F535:K535)</f>
        <v>157.83000000000001</v>
      </c>
      <c r="M535" s="8"/>
      <c r="N535" s="270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122.24</v>
      </c>
      <c r="I536" s="18"/>
      <c r="J536" s="18"/>
      <c r="K536" s="18"/>
      <c r="L536" s="88">
        <f>SUM(F536:K536)</f>
        <v>122.24</v>
      </c>
      <c r="M536" s="8"/>
      <c r="N536" s="270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188.28</v>
      </c>
      <c r="I537" s="18"/>
      <c r="J537" s="18"/>
      <c r="K537" s="18"/>
      <c r="L537" s="88">
        <f>SUM(F537:K537)</f>
        <v>188.28</v>
      </c>
      <c r="M537" s="8"/>
      <c r="N537" s="270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468.35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468.35</v>
      </c>
      <c r="M538" s="8"/>
      <c r="N538" s="270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0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34215.14</v>
      </c>
      <c r="G540" s="18">
        <v>2474.7800000000002</v>
      </c>
      <c r="H540" s="18">
        <v>26512.18</v>
      </c>
      <c r="I540" s="18">
        <v>11613.36</v>
      </c>
      <c r="J540" s="18"/>
      <c r="K540" s="18"/>
      <c r="L540" s="88">
        <f>SUM(F540:K540)</f>
        <v>74815.459999999992</v>
      </c>
      <c r="M540" s="8"/>
      <c r="N540" s="270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>
        <v>22361.74</v>
      </c>
      <c r="G541" s="18">
        <v>1617.43</v>
      </c>
      <c r="H541" s="18">
        <v>9416.67</v>
      </c>
      <c r="I541" s="18">
        <v>7590.06</v>
      </c>
      <c r="J541" s="18"/>
      <c r="K541" s="18"/>
      <c r="L541" s="88">
        <f>SUM(F541:K541)</f>
        <v>40985.9</v>
      </c>
      <c r="M541" s="8"/>
      <c r="N541" s="270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v>27489.8</v>
      </c>
      <c r="G542" s="18">
        <v>1988.34</v>
      </c>
      <c r="H542" s="18">
        <v>11576.12</v>
      </c>
      <c r="I542" s="18">
        <v>9330.64</v>
      </c>
      <c r="J542" s="18"/>
      <c r="K542" s="18"/>
      <c r="L542" s="88">
        <f>SUM(F542:K542)</f>
        <v>50384.9</v>
      </c>
      <c r="M542" s="8"/>
      <c r="N542" s="270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84066.680000000008</v>
      </c>
      <c r="G543" s="193">
        <f t="shared" ref="G543:L543" si="40">SUM(G540:G542)</f>
        <v>6080.55</v>
      </c>
      <c r="H543" s="193">
        <f t="shared" si="40"/>
        <v>47504.97</v>
      </c>
      <c r="I543" s="193">
        <f t="shared" si="40"/>
        <v>28534.06</v>
      </c>
      <c r="J543" s="193">
        <f t="shared" si="40"/>
        <v>0</v>
      </c>
      <c r="K543" s="193">
        <f t="shared" si="40"/>
        <v>0</v>
      </c>
      <c r="L543" s="193">
        <f t="shared" si="40"/>
        <v>166186.25999999998</v>
      </c>
      <c r="M543" s="8"/>
      <c r="N543" s="270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3663354.290000001</v>
      </c>
      <c r="G544" s="89">
        <f t="shared" ref="G544:L544" si="41">G523+G528+G533+G538+G543</f>
        <v>1745450.5300000003</v>
      </c>
      <c r="H544" s="89">
        <f t="shared" si="41"/>
        <v>1668489.4300000002</v>
      </c>
      <c r="I544" s="89">
        <f t="shared" si="41"/>
        <v>72621.87999999999</v>
      </c>
      <c r="J544" s="89">
        <f t="shared" si="41"/>
        <v>8101.5599999999995</v>
      </c>
      <c r="K544" s="89">
        <f t="shared" si="41"/>
        <v>1979.51</v>
      </c>
      <c r="L544" s="89">
        <f t="shared" si="41"/>
        <v>7159997.1999999993</v>
      </c>
      <c r="M544" s="8"/>
      <c r="N544" s="270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0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0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0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1843323.1500000004</v>
      </c>
      <c r="G548" s="87">
        <f>L525</f>
        <v>499827.96</v>
      </c>
      <c r="H548" s="87">
        <f>L530</f>
        <v>87661.83</v>
      </c>
      <c r="I548" s="87">
        <f>L535</f>
        <v>157.83000000000001</v>
      </c>
      <c r="J548" s="87">
        <f>L540</f>
        <v>74815.459999999992</v>
      </c>
      <c r="K548" s="87">
        <f>SUM(F548:J548)</f>
        <v>2505786.2300000004</v>
      </c>
      <c r="L548" s="24" t="s">
        <v>289</v>
      </c>
      <c r="M548" s="8"/>
      <c r="N548" s="270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2097974.1999999997</v>
      </c>
      <c r="G549" s="87">
        <f>L526</f>
        <v>326668.88000000006</v>
      </c>
      <c r="H549" s="87">
        <f>L531</f>
        <v>57292.5</v>
      </c>
      <c r="I549" s="87">
        <f>L536</f>
        <v>122.24</v>
      </c>
      <c r="J549" s="87">
        <f>L541</f>
        <v>40985.9</v>
      </c>
      <c r="K549" s="87">
        <f>SUM(F549:J549)</f>
        <v>2523043.7199999997</v>
      </c>
      <c r="L549" s="24" t="s">
        <v>289</v>
      </c>
      <c r="M549" s="8"/>
      <c r="N549" s="270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1608568.78</v>
      </c>
      <c r="G550" s="87">
        <f>L527</f>
        <v>401594.28</v>
      </c>
      <c r="H550" s="87">
        <f>L532</f>
        <v>70431.010000000009</v>
      </c>
      <c r="I550" s="87">
        <f>L537</f>
        <v>188.28</v>
      </c>
      <c r="J550" s="87">
        <f>L542</f>
        <v>50384.9</v>
      </c>
      <c r="K550" s="87">
        <f>SUM(F550:J550)</f>
        <v>2131167.25</v>
      </c>
      <c r="L550" s="24" t="s">
        <v>289</v>
      </c>
      <c r="M550" s="8"/>
      <c r="N550" s="270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5549866.1299999999</v>
      </c>
      <c r="G551" s="89">
        <f t="shared" si="42"/>
        <v>1228091.1200000001</v>
      </c>
      <c r="H551" s="89">
        <f t="shared" si="42"/>
        <v>215385.34000000003</v>
      </c>
      <c r="I551" s="89">
        <f t="shared" si="42"/>
        <v>468.35</v>
      </c>
      <c r="J551" s="89">
        <f t="shared" si="42"/>
        <v>166186.25999999998</v>
      </c>
      <c r="K551" s="89">
        <f t="shared" si="42"/>
        <v>7159997.2000000002</v>
      </c>
      <c r="L551" s="24"/>
      <c r="M551" s="8"/>
      <c r="N551" s="270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0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0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0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0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0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0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0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0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0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0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0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0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0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0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0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v>14202.99</v>
      </c>
      <c r="G579" s="18"/>
      <c r="H579" s="18">
        <v>66740.460000000006</v>
      </c>
      <c r="I579" s="87">
        <f t="shared" si="47"/>
        <v>80943.450000000012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997</v>
      </c>
      <c r="G581" s="18">
        <v>740216.48</v>
      </c>
      <c r="H581" s="18">
        <v>350173.1</v>
      </c>
      <c r="I581" s="87">
        <f t="shared" si="47"/>
        <v>1091386.58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0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0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95165.83+25112.09+21301.74+29603.04+165.8</f>
        <v>171348.5</v>
      </c>
      <c r="I590" s="18">
        <f>73704.1+19448.83+16497.79+22926.98+128.41</f>
        <v>132706.11000000002</v>
      </c>
      <c r="J590" s="18">
        <f>113521.26+29955.67+25410.39+35312.82+197.78+0.02</f>
        <v>204397.94</v>
      </c>
      <c r="K590" s="104">
        <f t="shared" ref="K590:K596" si="48">SUM(H590:J590)</f>
        <v>508452.55</v>
      </c>
      <c r="L590" s="24" t="s">
        <v>289</v>
      </c>
      <c r="M590" s="8"/>
      <c r="N590" s="270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34215.14+2474.78+38125.54</f>
        <v>74815.459999999992</v>
      </c>
      <c r="I591" s="18">
        <f>22361.74+1617.43+17006.73</f>
        <v>40985.9</v>
      </c>
      <c r="J591" s="18">
        <f>27489.8+1988.34+20906.76</f>
        <v>50384.899999999994</v>
      </c>
      <c r="K591" s="104">
        <f t="shared" si="48"/>
        <v>166186.25999999998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38847.96</v>
      </c>
      <c r="K592" s="104">
        <f t="shared" si="48"/>
        <v>38847.96</v>
      </c>
      <c r="L592" s="24" t="s">
        <v>289</v>
      </c>
      <c r="M592" s="8"/>
      <c r="N592" s="270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f>7670.45+1390</f>
        <v>9060.4500000000007</v>
      </c>
      <c r="J593" s="18">
        <f>21325+34081.47</f>
        <v>55406.47</v>
      </c>
      <c r="K593" s="104">
        <f t="shared" si="48"/>
        <v>64466.92</v>
      </c>
      <c r="L593" s="24" t="s">
        <v>289</v>
      </c>
      <c r="M593" s="8"/>
      <c r="N593" s="270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f>4928.45+336.48+1738</f>
        <v>7002.93</v>
      </c>
      <c r="I594" s="18">
        <f>2557+13.4+175.23</f>
        <v>2745.63</v>
      </c>
      <c r="J594" s="18">
        <f>5587.52+406.22+2415</f>
        <v>8408.7400000000016</v>
      </c>
      <c r="K594" s="104">
        <f t="shared" si="48"/>
        <v>18157.300000000003</v>
      </c>
      <c r="L594" s="24" t="s">
        <v>289</v>
      </c>
      <c r="M594" s="8"/>
      <c r="N594" s="270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0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253166.88999999998</v>
      </c>
      <c r="I597" s="108">
        <f>SUM(I590:I596)</f>
        <v>185498.09000000003</v>
      </c>
      <c r="J597" s="108">
        <f>SUM(J590:J596)</f>
        <v>357446.01</v>
      </c>
      <c r="K597" s="108">
        <f>SUM(K590:K596)</f>
        <v>796110.99</v>
      </c>
      <c r="L597" s="24" t="s">
        <v>289</v>
      </c>
      <c r="M597" s="8"/>
      <c r="N597" s="270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0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0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0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48060.23+12828.43+168.5+908.68</f>
        <v>61965.840000000004</v>
      </c>
      <c r="I603" s="18">
        <f>42739.96+208.28+130.5+193.91</f>
        <v>43272.65</v>
      </c>
      <c r="J603" s="18">
        <f>108719.01+320.8+201+31837+238.38+1495.65</f>
        <v>142811.84</v>
      </c>
      <c r="K603" s="104">
        <f>SUM(H603:J603)</f>
        <v>248050.33000000002</v>
      </c>
      <c r="L603" s="24" t="s">
        <v>289</v>
      </c>
      <c r="M603" s="8"/>
      <c r="N603" s="270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61965.840000000004</v>
      </c>
      <c r="I604" s="108">
        <f>SUM(I601:I603)</f>
        <v>43272.65</v>
      </c>
      <c r="J604" s="108">
        <f>SUM(J601:J603)</f>
        <v>142811.84</v>
      </c>
      <c r="K604" s="108">
        <f>SUM(K601:K603)</f>
        <v>248050.33000000002</v>
      </c>
      <c r="L604" s="24" t="s">
        <v>289</v>
      </c>
      <c r="M604" s="8"/>
      <c r="N604" s="270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0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0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0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9090.1299999999992</v>
      </c>
      <c r="G610" s="18">
        <v>1749.53</v>
      </c>
      <c r="H610" s="18"/>
      <c r="I610" s="18"/>
      <c r="J610" s="18"/>
      <c r="K610" s="18"/>
      <c r="L610" s="88">
        <f>SUM(F610:K610)</f>
        <v>10839.66</v>
      </c>
      <c r="M610" s="8"/>
      <c r="N610" s="270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20802.900000000001</v>
      </c>
      <c r="G612" s="18">
        <v>4026.58</v>
      </c>
      <c r="H612" s="18"/>
      <c r="I612" s="18"/>
      <c r="J612" s="18"/>
      <c r="K612" s="18"/>
      <c r="L612" s="88">
        <f>SUM(F612:K612)</f>
        <v>24829.480000000003</v>
      </c>
      <c r="M612" s="8"/>
      <c r="N612" s="270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29893.03</v>
      </c>
      <c r="G613" s="108">
        <f t="shared" si="49"/>
        <v>5776.11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35669.14</v>
      </c>
      <c r="M613" s="8"/>
      <c r="N613" s="270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4991882.51</v>
      </c>
      <c r="H616" s="109">
        <f>SUM(F51)</f>
        <v>4991882.51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44752.619999999995</v>
      </c>
      <c r="H617" s="109">
        <f>SUM(G51)</f>
        <v>44752.619999999995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548582.39</v>
      </c>
      <c r="H618" s="109">
        <f>SUM(H51)</f>
        <v>548582.39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281228.79999999999</v>
      </c>
      <c r="H619" s="109">
        <f>SUM(I51)</f>
        <v>281228.79999999999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2631995.4</v>
      </c>
      <c r="H620" s="109">
        <f>SUM(J51)</f>
        <v>2631995.4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4628355.42</v>
      </c>
      <c r="H621" s="109">
        <f>F475</f>
        <v>4628355.4199999943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12626.32</v>
      </c>
      <c r="H622" s="109">
        <f>G475</f>
        <v>12626.319999999832</v>
      </c>
      <c r="I622" s="121" t="s">
        <v>102</v>
      </c>
      <c r="J622" s="109">
        <f t="shared" si="50"/>
        <v>1.673470251262188E-10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525728.67000000004</v>
      </c>
      <c r="H623" s="109">
        <f>H475</f>
        <v>525728.66999999993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239390.53</v>
      </c>
      <c r="H624" s="109">
        <f>I475</f>
        <v>239390.53000000003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2631995.4</v>
      </c>
      <c r="H625" s="109">
        <f>J475</f>
        <v>2631995.4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34496721.209999993</v>
      </c>
      <c r="H626" s="104">
        <f>SUM(F467)</f>
        <v>34496721.209999993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595848.32999999996</v>
      </c>
      <c r="H627" s="104">
        <f>SUM(G467)</f>
        <v>595848.32999999996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1026003.1699999998</v>
      </c>
      <c r="H628" s="104">
        <f>SUM(H467)</f>
        <v>1026003.1699999998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24807.5</v>
      </c>
      <c r="H629" s="104">
        <f>SUM(I467)</f>
        <v>24807.5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776374.85</v>
      </c>
      <c r="H630" s="104">
        <f>SUM(J467)</f>
        <v>776374.85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33874102.759999998</v>
      </c>
      <c r="H631" s="104">
        <f>SUM(F471)</f>
        <v>33874102.759999998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874053.95</v>
      </c>
      <c r="H632" s="104">
        <f>SUM(H471)</f>
        <v>874053.95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31237.250000000004</v>
      </c>
      <c r="H633" s="104">
        <f>I368</f>
        <v>31237.250000000004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595372.08000000007</v>
      </c>
      <c r="H634" s="104">
        <f>SUM(G471)</f>
        <v>595372.08000000007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1826603.02</v>
      </c>
      <c r="H635" s="104">
        <f>SUM(I471)</f>
        <v>1826603.02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776374.85000000009</v>
      </c>
      <c r="H636" s="164">
        <f>SUM(J467)</f>
        <v>776374.85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2327694.29</v>
      </c>
      <c r="H638" s="104">
        <f>SUM(F460)</f>
        <v>2327694.29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304301.11</v>
      </c>
      <c r="H639" s="104">
        <f>SUM(G460)</f>
        <v>304301.11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2631995.4</v>
      </c>
      <c r="H641" s="104">
        <f>SUM(I460)</f>
        <v>2631995.4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3038.72</v>
      </c>
      <c r="H643" s="104">
        <f>H407</f>
        <v>3038.72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773336.13</v>
      </c>
      <c r="H644" s="104">
        <f>G407</f>
        <v>773336.13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776374.85</v>
      </c>
      <c r="H645" s="104">
        <f>L407</f>
        <v>776374.85000000009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796110.99</v>
      </c>
      <c r="H646" s="104">
        <f>L207+L225+L243</f>
        <v>796110.99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248050.33000000002</v>
      </c>
      <c r="H647" s="104">
        <f>(J256+J337)-(J254+J335)</f>
        <v>248050.33000000002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253166.89</v>
      </c>
      <c r="H648" s="104">
        <f>H597</f>
        <v>253166.88999999998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185498.09</v>
      </c>
      <c r="H649" s="104">
        <f>I597</f>
        <v>185498.09000000003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357446.01000000007</v>
      </c>
      <c r="H650" s="104">
        <f>J597</f>
        <v>357446.01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773336.13</v>
      </c>
      <c r="H654" s="104">
        <f>K265+K346</f>
        <v>773336.13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10680794.050000001</v>
      </c>
      <c r="G659" s="19">
        <f>(L228+L308+L358)</f>
        <v>9139853.5799999982</v>
      </c>
      <c r="H659" s="19">
        <f>(L246+L327+L359)</f>
        <v>11754771.249999998</v>
      </c>
      <c r="I659" s="19">
        <f>SUM(F659:H659)</f>
        <v>31575418.879999995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124352.15690501474</v>
      </c>
      <c r="G660" s="19">
        <f>(L358/IF(SUM(L357:L359)=0,1,SUM(L357:L359))*(SUM(G96:G109)))</f>
        <v>96308.345715044285</v>
      </c>
      <c r="H660" s="19">
        <f>(L359/IF(SUM(L357:L359)=0,1,SUM(L357:L359))*(SUM(G96:G109)))</f>
        <v>148336.99737994093</v>
      </c>
      <c r="I660" s="19">
        <f>SUM(F660:H660)</f>
        <v>368997.49999999994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255670.21000000002</v>
      </c>
      <c r="G661" s="19">
        <f>(L225+L305)-(J225+J305)</f>
        <v>185498.09</v>
      </c>
      <c r="H661" s="19">
        <f>(L243+L324)-(J243+J324)</f>
        <v>357446.01000000007</v>
      </c>
      <c r="I661" s="19">
        <f>SUM(F661:H661)</f>
        <v>798614.31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88005.49</v>
      </c>
      <c r="G662" s="199">
        <f>SUM(G574:G586)+SUM(I601:I603)+L611</f>
        <v>783489.13</v>
      </c>
      <c r="H662" s="199">
        <f>SUM(H574:H586)+SUM(J601:J603)+L612</f>
        <v>584554.88</v>
      </c>
      <c r="I662" s="19">
        <f>SUM(F662:H662)</f>
        <v>1456049.5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10212766.193094986</v>
      </c>
      <c r="G663" s="19">
        <f>G659-SUM(G660:G662)</f>
        <v>8074558.0142849535</v>
      </c>
      <c r="H663" s="19">
        <f>H659-SUM(H660:H662)</f>
        <v>10664433.362620058</v>
      </c>
      <c r="I663" s="19">
        <f>I659-SUM(I660:I662)</f>
        <v>28951757.569999997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563.95000000000005</v>
      </c>
      <c r="G664" s="248">
        <v>455.9</v>
      </c>
      <c r="H664" s="248">
        <v>688.91</v>
      </c>
      <c r="I664" s="19">
        <f>SUM(F664:H664)</f>
        <v>1708.76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18109.349999999999</v>
      </c>
      <c r="G666" s="19">
        <f>ROUND(G663/G664,2)</f>
        <v>17711.25</v>
      </c>
      <c r="H666" s="19">
        <f>ROUND(H663/H664,2)</f>
        <v>15480.15</v>
      </c>
      <c r="I666" s="19">
        <f>ROUND(I663/I664,2)</f>
        <v>16943.14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-23.2</v>
      </c>
      <c r="I669" s="19">
        <f>SUM(F669:H669)</f>
        <v>-23.2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18109.349999999999</v>
      </c>
      <c r="G671" s="19">
        <f>ROUND((G663+G668)/(G664+G669),2)</f>
        <v>17711.25</v>
      </c>
      <c r="H671" s="19">
        <f>ROUND((H663+H668)/(H664+H669),2)</f>
        <v>16019.64</v>
      </c>
      <c r="I671" s="19">
        <f>ROUND((I663+I668)/(I664+I669),2)</f>
        <v>17176.34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7" workbookViewId="0">
      <selection activeCell="L34" sqref="L3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Lebanon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9205551.5</v>
      </c>
      <c r="C9" s="229">
        <f>'DOE25'!G196+'DOE25'!G214+'DOE25'!G232+'DOE25'!G275+'DOE25'!G294+'DOE25'!G313</f>
        <v>3694582.19</v>
      </c>
    </row>
    <row r="10" spans="1:3" x14ac:dyDescent="0.2">
      <c r="A10" t="s">
        <v>779</v>
      </c>
      <c r="B10" s="240">
        <f>8273134.77+38659.76</f>
        <v>8311794.5299999993</v>
      </c>
      <c r="C10" s="240">
        <v>3418169.05</v>
      </c>
    </row>
    <row r="11" spans="1:3" x14ac:dyDescent="0.2">
      <c r="A11" t="s">
        <v>780</v>
      </c>
      <c r="B11" s="240">
        <v>621493.52</v>
      </c>
      <c r="C11" s="240">
        <v>255584.99</v>
      </c>
    </row>
    <row r="12" spans="1:3" x14ac:dyDescent="0.2">
      <c r="A12" t="s">
        <v>781</v>
      </c>
      <c r="B12" s="240">
        <f>184301.05+87962.4</f>
        <v>272263.44999999995</v>
      </c>
      <c r="C12" s="240">
        <v>20828.150000000001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9205551.4999999981</v>
      </c>
      <c r="C13" s="231">
        <f>SUM(C10:C12)</f>
        <v>3694582.19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3579287.59</v>
      </c>
      <c r="C18" s="229">
        <f>'DOE25'!G197+'DOE25'!G215+'DOE25'!G233+'DOE25'!G276+'DOE25'!G295+'DOE25'!G314</f>
        <v>1926587.9700000002</v>
      </c>
    </row>
    <row r="19" spans="1:3" x14ac:dyDescent="0.2">
      <c r="A19" t="s">
        <v>779</v>
      </c>
      <c r="B19" s="240">
        <v>2423272.87</v>
      </c>
      <c r="C19" s="240">
        <v>974462.43</v>
      </c>
    </row>
    <row r="20" spans="1:3" x14ac:dyDescent="0.2">
      <c r="A20" t="s">
        <v>780</v>
      </c>
      <c r="B20" s="240">
        <v>1024374.22</v>
      </c>
      <c r="C20" s="240">
        <v>899503.78</v>
      </c>
    </row>
    <row r="21" spans="1:3" x14ac:dyDescent="0.2">
      <c r="A21" t="s">
        <v>781</v>
      </c>
      <c r="B21" s="240">
        <v>131640.5</v>
      </c>
      <c r="C21" s="240">
        <v>52621.760000000002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3579287.59</v>
      </c>
      <c r="C22" s="231">
        <f>SUM(C19:C21)</f>
        <v>1926587.97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362455.82</v>
      </c>
      <c r="C36" s="235">
        <f>'DOE25'!G199+'DOE25'!G217+'DOE25'!G235+'DOE25'!G278+'DOE25'!G297+'DOE25'!G316</f>
        <v>64770.590000000004</v>
      </c>
    </row>
    <row r="37" spans="1:3" x14ac:dyDescent="0.2">
      <c r="A37" t="s">
        <v>779</v>
      </c>
      <c r="B37" s="240">
        <v>80815.91</v>
      </c>
      <c r="C37" s="240">
        <v>20078.88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281639.90999999997</v>
      </c>
      <c r="C39" s="240">
        <v>44691.71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362455.81999999995</v>
      </c>
      <c r="C40" s="231">
        <f>SUM(C37:C39)</f>
        <v>64770.59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L36" sqref="L36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>Lebanon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20957281.299999997</v>
      </c>
      <c r="D5" s="20">
        <f>SUM('DOE25'!L196:L199)+SUM('DOE25'!L214:L217)+SUM('DOE25'!L232:L235)-F5-G5</f>
        <v>20818425.379999995</v>
      </c>
      <c r="E5" s="243"/>
      <c r="F5" s="255">
        <f>SUM('DOE25'!J196:J199)+SUM('DOE25'!J214:J217)+SUM('DOE25'!J232:J235)</f>
        <v>79210.820000000007</v>
      </c>
      <c r="G5" s="53">
        <f>SUM('DOE25'!K196:K199)+SUM('DOE25'!K214:K217)+SUM('DOE25'!K232:K235)</f>
        <v>59645.100000000006</v>
      </c>
      <c r="H5" s="259"/>
    </row>
    <row r="6" spans="1:9" x14ac:dyDescent="0.2">
      <c r="A6" s="32">
        <v>2100</v>
      </c>
      <c r="B6" t="s">
        <v>801</v>
      </c>
      <c r="C6" s="245">
        <f t="shared" si="0"/>
        <v>1341951.8700000001</v>
      </c>
      <c r="D6" s="20">
        <f>'DOE25'!L201+'DOE25'!L219+'DOE25'!L237-F6-G6</f>
        <v>1339618.2100000002</v>
      </c>
      <c r="E6" s="243"/>
      <c r="F6" s="255">
        <f>'DOE25'!J201+'DOE25'!J219+'DOE25'!J237</f>
        <v>1454.16</v>
      </c>
      <c r="G6" s="53">
        <f>'DOE25'!K201+'DOE25'!K219+'DOE25'!K237</f>
        <v>879.5</v>
      </c>
      <c r="H6" s="259"/>
    </row>
    <row r="7" spans="1:9" x14ac:dyDescent="0.2">
      <c r="A7" s="32">
        <v>2200</v>
      </c>
      <c r="B7" t="s">
        <v>834</v>
      </c>
      <c r="C7" s="245">
        <f t="shared" si="0"/>
        <v>1733840.25</v>
      </c>
      <c r="D7" s="20">
        <f>'DOE25'!L202+'DOE25'!L220+'DOE25'!L238-F7-G7</f>
        <v>1649440.16</v>
      </c>
      <c r="E7" s="243"/>
      <c r="F7" s="255">
        <f>'DOE25'!J202+'DOE25'!J220+'DOE25'!J238</f>
        <v>84400.09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796106.03</v>
      </c>
      <c r="D8" s="243"/>
      <c r="E8" s="20">
        <f>'DOE25'!L203+'DOE25'!L221+'DOE25'!L239-F8-G8-D9-D11</f>
        <v>753893.22</v>
      </c>
      <c r="F8" s="255">
        <f>'DOE25'!J203+'DOE25'!J221+'DOE25'!J239</f>
        <v>8233.2900000000009</v>
      </c>
      <c r="G8" s="53">
        <f>'DOE25'!K203+'DOE25'!K221+'DOE25'!K239</f>
        <v>33979.519999999997</v>
      </c>
      <c r="H8" s="259"/>
    </row>
    <row r="9" spans="1:9" x14ac:dyDescent="0.2">
      <c r="A9" s="32">
        <v>2310</v>
      </c>
      <c r="B9" t="s">
        <v>818</v>
      </c>
      <c r="C9" s="245">
        <f t="shared" si="0"/>
        <v>173066.03</v>
      </c>
      <c r="D9" s="244">
        <v>173066.03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18500</v>
      </c>
      <c r="D10" s="243"/>
      <c r="E10" s="244">
        <v>18500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312216.78999999998</v>
      </c>
      <c r="D11" s="244">
        <v>312216.78999999998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1434719.08</v>
      </c>
      <c r="D12" s="20">
        <f>'DOE25'!L204+'DOE25'!L222+'DOE25'!L240-F12-G12</f>
        <v>1423870.1400000001</v>
      </c>
      <c r="E12" s="243"/>
      <c r="F12" s="255">
        <f>'DOE25'!J204+'DOE25'!J222+'DOE25'!J240</f>
        <v>3981.6800000000003</v>
      </c>
      <c r="G12" s="53">
        <f>'DOE25'!K204+'DOE25'!K222+'DOE25'!K240</f>
        <v>6867.26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2644109.9499999997</v>
      </c>
      <c r="D14" s="20">
        <f>'DOE25'!L206+'DOE25'!L224+'DOE25'!L242-F14-G14</f>
        <v>2620901.7899999996</v>
      </c>
      <c r="E14" s="243"/>
      <c r="F14" s="255">
        <f>'DOE25'!J206+'DOE25'!J224+'DOE25'!J242</f>
        <v>22239.16</v>
      </c>
      <c r="G14" s="53">
        <f>'DOE25'!K206+'DOE25'!K224+'DOE25'!K242</f>
        <v>969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796110.99</v>
      </c>
      <c r="D15" s="20">
        <f>'DOE25'!L207+'DOE25'!L225+'DOE25'!L243-F15-G15</f>
        <v>795619</v>
      </c>
      <c r="E15" s="243"/>
      <c r="F15" s="255">
        <f>'DOE25'!J207+'DOE25'!J225+'DOE25'!J243</f>
        <v>0</v>
      </c>
      <c r="G15" s="53">
        <f>'DOE25'!K207+'DOE25'!K225+'DOE25'!K243</f>
        <v>491.99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55740.67</v>
      </c>
      <c r="D22" s="243"/>
      <c r="E22" s="243"/>
      <c r="F22" s="255">
        <f>'DOE25'!L254+'DOE25'!L335</f>
        <v>55740.67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2855623.67</v>
      </c>
      <c r="D25" s="243"/>
      <c r="E25" s="243"/>
      <c r="F25" s="258"/>
      <c r="G25" s="256"/>
      <c r="H25" s="257">
        <f>'DOE25'!L259+'DOE25'!L260+'DOE25'!L340+'DOE25'!L341</f>
        <v>2855623.67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568360.60000000009</v>
      </c>
      <c r="D29" s="20">
        <f>'DOE25'!L357+'DOE25'!L358+'DOE25'!L359-'DOE25'!I366-F29-G29</f>
        <v>555931.49000000011</v>
      </c>
      <c r="E29" s="243"/>
      <c r="F29" s="255">
        <f>'DOE25'!J357+'DOE25'!J358+'DOE25'!J359</f>
        <v>12429.11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874053.95</v>
      </c>
      <c r="D31" s="20">
        <f>'DOE25'!L289+'DOE25'!L308+'DOE25'!L327+'DOE25'!L332+'DOE25'!L333+'DOE25'!L334-F31-G31</f>
        <v>823641.58</v>
      </c>
      <c r="E31" s="243"/>
      <c r="F31" s="255">
        <f>'DOE25'!J289+'DOE25'!J308+'DOE25'!J327+'DOE25'!J332+'DOE25'!J333+'DOE25'!J334</f>
        <v>48531.130000000005</v>
      </c>
      <c r="G31" s="53">
        <f>'DOE25'!K289+'DOE25'!K308+'DOE25'!K327+'DOE25'!K332+'DOE25'!K333+'DOE25'!K334</f>
        <v>1881.24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30512730.569999993</v>
      </c>
      <c r="E33" s="246">
        <f>SUM(E5:E31)</f>
        <v>772393.22</v>
      </c>
      <c r="F33" s="246">
        <f>SUM(F5:F31)</f>
        <v>316220.11</v>
      </c>
      <c r="G33" s="246">
        <f>SUM(G5:G31)</f>
        <v>104713.61</v>
      </c>
      <c r="H33" s="246">
        <f>SUM(H5:H31)</f>
        <v>2855623.67</v>
      </c>
    </row>
    <row r="35" spans="2:8" ht="12" thickBot="1" x14ac:dyDescent="0.25">
      <c r="B35" s="253" t="s">
        <v>847</v>
      </c>
      <c r="D35" s="254">
        <f>E33</f>
        <v>772393.22</v>
      </c>
      <c r="E35" s="249"/>
    </row>
    <row r="36" spans="2:8" ht="12" thickTop="1" x14ac:dyDescent="0.2">
      <c r="B36" t="s">
        <v>815</v>
      </c>
      <c r="D36" s="20">
        <f>D33</f>
        <v>30512730.569999993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2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Lebanon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1509219</v>
      </c>
      <c r="D8" s="95">
        <f>'DOE25'!G9</f>
        <v>24192.3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3402512.55</v>
      </c>
      <c r="D9" s="95">
        <f>'DOE25'!G10</f>
        <v>0</v>
      </c>
      <c r="E9" s="95">
        <f>'DOE25'!H10</f>
        <v>0</v>
      </c>
      <c r="F9" s="95">
        <f>'DOE25'!I10</f>
        <v>281228.79999999999</v>
      </c>
      <c r="G9" s="95">
        <f>'DOE25'!J10</f>
        <v>2269808.04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338298.68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12626.32</v>
      </c>
      <c r="E12" s="95">
        <f>'DOE25'!H13</f>
        <v>210283.71</v>
      </c>
      <c r="F12" s="95">
        <f>'DOE25'!I13</f>
        <v>0</v>
      </c>
      <c r="G12" s="95">
        <f>'DOE25'!J13</f>
        <v>362187.36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7934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80150.960000000006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4991882.51</v>
      </c>
      <c r="D18" s="41">
        <f>SUM(D8:D17)</f>
        <v>44752.619999999995</v>
      </c>
      <c r="E18" s="41">
        <f>SUM(E8:E17)</f>
        <v>548582.39</v>
      </c>
      <c r="F18" s="41">
        <f>SUM(F8:F17)</f>
        <v>281228.79999999999</v>
      </c>
      <c r="G18" s="41">
        <f>SUM(G8:G17)</f>
        <v>2631995.4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362187.36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22700</v>
      </c>
      <c r="E23" s="95">
        <f>'DOE25'!H24</f>
        <v>22853.72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41838.269999999997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1339.73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9426.2999999999993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363527.08999999997</v>
      </c>
      <c r="D31" s="41">
        <f>SUM(D21:D30)</f>
        <v>32126.3</v>
      </c>
      <c r="E31" s="41">
        <f>SUM(E21:E30)</f>
        <v>22853.72</v>
      </c>
      <c r="F31" s="41">
        <f>SUM(F21:F30)</f>
        <v>41838.269999999997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239390.53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2304174.46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80150.960000000006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12626.32</v>
      </c>
      <c r="E46" s="95">
        <f>'DOE25'!H47</f>
        <v>525728.67000000004</v>
      </c>
      <c r="F46" s="95">
        <f>'DOE25'!I47</f>
        <v>0</v>
      </c>
      <c r="G46" s="95">
        <f>'DOE25'!J47</f>
        <v>2631995.4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2244030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4628355.42</v>
      </c>
      <c r="D49" s="41">
        <f>SUM(D34:D48)</f>
        <v>12626.32</v>
      </c>
      <c r="E49" s="41">
        <f>SUM(E34:E48)</f>
        <v>525728.67000000004</v>
      </c>
      <c r="F49" s="41">
        <f>SUM(F34:F48)</f>
        <v>239390.53</v>
      </c>
      <c r="G49" s="41">
        <f>SUM(G34:G48)</f>
        <v>2631995.4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4991882.51</v>
      </c>
      <c r="D50" s="41">
        <f>D49+D31</f>
        <v>44752.619999999995</v>
      </c>
      <c r="E50" s="41">
        <f>E49+E31</f>
        <v>548582.39</v>
      </c>
      <c r="F50" s="41">
        <f>F49+F31</f>
        <v>281228.79999999999</v>
      </c>
      <c r="G50" s="41">
        <f>G49+G31</f>
        <v>2631995.4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20134142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4446830.1500000004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5857.79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3038.72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368997.5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837199.44</v>
      </c>
      <c r="D60" s="95">
        <f>SUM('DOE25'!G97:G109)</f>
        <v>0</v>
      </c>
      <c r="E60" s="95">
        <f>SUM('DOE25'!H97:H109)</f>
        <v>141147.35999999999</v>
      </c>
      <c r="F60" s="95">
        <f>SUM('DOE25'!I97:I109)</f>
        <v>24807.5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5289887.3800000008</v>
      </c>
      <c r="D61" s="130">
        <f>SUM(D56:D60)</f>
        <v>368997.5</v>
      </c>
      <c r="E61" s="130">
        <f>SUM(E56:E60)</f>
        <v>141147.35999999999</v>
      </c>
      <c r="F61" s="130">
        <f>SUM(F56:F60)</f>
        <v>24807.5</v>
      </c>
      <c r="G61" s="130">
        <f>SUM(G56:G60)</f>
        <v>3038.72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25424029.380000003</v>
      </c>
      <c r="D62" s="22">
        <f>D55+D61</f>
        <v>368997.5</v>
      </c>
      <c r="E62" s="22">
        <f>E55+E61</f>
        <v>141147.35999999999</v>
      </c>
      <c r="F62" s="22">
        <f>F55+F61</f>
        <v>24807.5</v>
      </c>
      <c r="G62" s="22">
        <f>G55+G61</f>
        <v>3038.72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2797920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4404043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7201963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925873.85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436002.78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286573.07999999996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5277.91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1648449.71</v>
      </c>
      <c r="D77" s="130">
        <f>SUM(D71:D76)</f>
        <v>5277.91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8850412.7100000009</v>
      </c>
      <c r="D80" s="130">
        <f>SUM(D78:D79)+D77+D69</f>
        <v>5277.91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27011.48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320492.84000000003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218280.89</v>
      </c>
      <c r="D87" s="95">
        <f>SUM('DOE25'!G152:G160)</f>
        <v>194561.44</v>
      </c>
      <c r="E87" s="95">
        <f>SUM('DOE25'!H152:H160)</f>
        <v>564362.97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3998.23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222279.12000000002</v>
      </c>
      <c r="D90" s="131">
        <f>SUM(D84:D89)</f>
        <v>221572.92</v>
      </c>
      <c r="E90" s="131">
        <f>SUM(E84:E89)</f>
        <v>884855.81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773336.13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773336.13</v>
      </c>
    </row>
    <row r="103" spans="1:7" ht="12.75" thickTop="1" thickBot="1" x14ac:dyDescent="0.25">
      <c r="A103" s="33" t="s">
        <v>765</v>
      </c>
      <c r="C103" s="86">
        <f>C62+C80+C90+C102</f>
        <v>34496721.210000001</v>
      </c>
      <c r="D103" s="86">
        <f>D62+D80+D90+D102</f>
        <v>595848.32999999996</v>
      </c>
      <c r="E103" s="86">
        <f>E62+E80+E90+E102</f>
        <v>1026003.17</v>
      </c>
      <c r="F103" s="86">
        <f>F62+F80+F90+F102</f>
        <v>24807.5</v>
      </c>
      <c r="G103" s="86">
        <f>G62+G80+G102</f>
        <v>776374.85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13268633.68</v>
      </c>
      <c r="D108" s="24" t="s">
        <v>289</v>
      </c>
      <c r="E108" s="95">
        <f>('DOE25'!L275)+('DOE25'!L294)+('DOE25'!L313)</f>
        <v>197182.34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6588901.3300000001</v>
      </c>
      <c r="D109" s="24" t="s">
        <v>289</v>
      </c>
      <c r="E109" s="95">
        <f>('DOE25'!L276)+('DOE25'!L295)+('DOE25'!L314)</f>
        <v>404909.6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447408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652338.29</v>
      </c>
      <c r="D111" s="24" t="s">
        <v>289</v>
      </c>
      <c r="E111" s="95">
        <f>+('DOE25'!L278)+('DOE25'!L297)+('DOE25'!L316)</f>
        <v>14069.650000000001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83409.439999999988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20957281.299999997</v>
      </c>
      <c r="D114" s="86">
        <f>SUM(D108:D113)</f>
        <v>0</v>
      </c>
      <c r="E114" s="86">
        <f>SUM(E108:E113)</f>
        <v>699571.02999999991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1341951.8700000001</v>
      </c>
      <c r="D117" s="24" t="s">
        <v>289</v>
      </c>
      <c r="E117" s="95">
        <f>+('DOE25'!L280)+('DOE25'!L299)+('DOE25'!L318)</f>
        <v>17316.04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1733840.25</v>
      </c>
      <c r="D118" s="24" t="s">
        <v>289</v>
      </c>
      <c r="E118" s="95">
        <f>+('DOE25'!L281)+('DOE25'!L300)+('DOE25'!L319)</f>
        <v>132684.35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1281388.8500000001</v>
      </c>
      <c r="D119" s="24" t="s">
        <v>289</v>
      </c>
      <c r="E119" s="95">
        <f>+('DOE25'!L282)+('DOE25'!L301)+('DOE25'!L320)</f>
        <v>8373.2799999999988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1434719.08</v>
      </c>
      <c r="D120" s="24" t="s">
        <v>289</v>
      </c>
      <c r="E120" s="95">
        <f>+('DOE25'!L283)+('DOE25'!L302)+('DOE25'!L321)</f>
        <v>732.93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2644109.9499999997</v>
      </c>
      <c r="D122" s="24" t="s">
        <v>289</v>
      </c>
      <c r="E122" s="95">
        <f>+('DOE25'!L285)+('DOE25'!L304)+('DOE25'!L323)</f>
        <v>12873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796110.99</v>
      </c>
      <c r="D123" s="24" t="s">
        <v>289</v>
      </c>
      <c r="E123" s="95">
        <f>+('DOE25'!L286)+('DOE25'!L305)+('DOE25'!L324)</f>
        <v>2503.3200000000002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595372.08000000007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9232120.9900000002</v>
      </c>
      <c r="D127" s="86">
        <f>SUM(D117:D126)</f>
        <v>595372.08000000007</v>
      </c>
      <c r="E127" s="86">
        <f>SUM(E117:E126)</f>
        <v>174482.92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55740.67</v>
      </c>
      <c r="D129" s="24" t="s">
        <v>289</v>
      </c>
      <c r="E129" s="129">
        <f>'DOE25'!L335</f>
        <v>0</v>
      </c>
      <c r="F129" s="129">
        <f>SUM('DOE25'!L373:'DOE25'!L379)</f>
        <v>1826603.02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1800600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1055023.67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775894.04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480.81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-3038.7200000000885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3684700.4699999997</v>
      </c>
      <c r="D143" s="141">
        <f>SUM(D129:D142)</f>
        <v>0</v>
      </c>
      <c r="E143" s="141">
        <f>SUM(E129:E142)</f>
        <v>0</v>
      </c>
      <c r="F143" s="141">
        <f>SUM(F129:F142)</f>
        <v>1826603.02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33874102.759999998</v>
      </c>
      <c r="D144" s="86">
        <f>(D114+D127+D143)</f>
        <v>595372.08000000007</v>
      </c>
      <c r="E144" s="86">
        <f>(E114+E127+E143)</f>
        <v>874053.95</v>
      </c>
      <c r="F144" s="86">
        <f>(F114+F127+F143)</f>
        <v>1826603.02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10</v>
      </c>
      <c r="C150" s="153">
        <f>'DOE25'!G489</f>
        <v>5</v>
      </c>
      <c r="D150" s="153">
        <f>'DOE25'!H489</f>
        <v>5</v>
      </c>
      <c r="E150" s="153">
        <f>'DOE25'!I489</f>
        <v>20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07/03</v>
      </c>
      <c r="C151" s="152" t="str">
        <f>'DOE25'!G490</f>
        <v>12/07</v>
      </c>
      <c r="D151" s="152" t="str">
        <f>'DOE25'!H490</f>
        <v>12/10</v>
      </c>
      <c r="E151" s="152" t="str">
        <f>'DOE25'!I490</f>
        <v>12/11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07/12</v>
      </c>
      <c r="C152" s="152" t="str">
        <f>'DOE25'!G491</f>
        <v>01/13</v>
      </c>
      <c r="D152" s="152" t="str">
        <f>'DOE25'!H491</f>
        <v>01/16</v>
      </c>
      <c r="E152" s="152" t="str">
        <f>'DOE25'!I491</f>
        <v>01/32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4900000</v>
      </c>
      <c r="C153" s="137">
        <f>'DOE25'!G492</f>
        <v>739000</v>
      </c>
      <c r="D153" s="137">
        <f>'DOE25'!H492</f>
        <v>678550</v>
      </c>
      <c r="E153" s="137">
        <f>'DOE25'!I492</f>
        <v>23650600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 t="str">
        <f>'DOE25'!F493</f>
        <v>Various</v>
      </c>
      <c r="C154" s="137" t="str">
        <f>'DOE25'!G493</f>
        <v>Various</v>
      </c>
      <c r="D154" s="137">
        <f>'DOE25'!H493</f>
        <v>2.23</v>
      </c>
      <c r="E154" s="137" t="str">
        <f>'DOE25'!I493</f>
        <v>Various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340000</v>
      </c>
      <c r="C155" s="137">
        <f>'DOE25'!G494</f>
        <v>145000</v>
      </c>
      <c r="D155" s="137">
        <f>'DOE25'!H494</f>
        <v>540000</v>
      </c>
      <c r="E155" s="137">
        <f>'DOE25'!I494</f>
        <v>23650600</v>
      </c>
      <c r="F155" s="137">
        <f>'DOE25'!J494</f>
        <v>0</v>
      </c>
      <c r="G155" s="138">
        <f>SUM(B155:F155)</f>
        <v>24675600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340000</v>
      </c>
      <c r="C157" s="137">
        <f>'DOE25'!G496</f>
        <v>145000</v>
      </c>
      <c r="D157" s="137">
        <f>'DOE25'!H496</f>
        <v>135000</v>
      </c>
      <c r="E157" s="137">
        <f>'DOE25'!I496</f>
        <v>1180600</v>
      </c>
      <c r="F157" s="137">
        <f>'DOE25'!J496</f>
        <v>0</v>
      </c>
      <c r="G157" s="138">
        <f t="shared" si="0"/>
        <v>1800600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405000</v>
      </c>
      <c r="E158" s="137">
        <f>'DOE25'!I497</f>
        <v>22470000</v>
      </c>
      <c r="F158" s="137">
        <f>'DOE25'!J497</f>
        <v>0</v>
      </c>
      <c r="G158" s="138">
        <f t="shared" si="0"/>
        <v>22875000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8952550</v>
      </c>
      <c r="F159" s="137">
        <f>'DOE25'!J498</f>
        <v>0</v>
      </c>
      <c r="G159" s="138">
        <f t="shared" si="0"/>
        <v>8952550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405000</v>
      </c>
      <c r="E160" s="137">
        <f>'DOE25'!I499</f>
        <v>31422550</v>
      </c>
      <c r="F160" s="137">
        <f>'DOE25'!J499</f>
        <v>0</v>
      </c>
      <c r="G160" s="138">
        <f t="shared" si="0"/>
        <v>31827550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135000</v>
      </c>
      <c r="E161" s="137">
        <f>'DOE25'!I500</f>
        <v>1185000</v>
      </c>
      <c r="F161" s="137">
        <f>'DOE25'!J500</f>
        <v>0</v>
      </c>
      <c r="G161" s="138">
        <f t="shared" si="0"/>
        <v>1320000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14849</v>
      </c>
      <c r="E162" s="137">
        <f>'DOE25'!I501</f>
        <v>907700</v>
      </c>
      <c r="F162" s="137">
        <f>'DOE25'!J501</f>
        <v>0</v>
      </c>
      <c r="G162" s="138">
        <f t="shared" si="0"/>
        <v>922549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149849</v>
      </c>
      <c r="E163" s="137">
        <f>'DOE25'!I502</f>
        <v>2092700</v>
      </c>
      <c r="F163" s="137">
        <f>'DOE25'!J502</f>
        <v>0</v>
      </c>
      <c r="G163" s="138">
        <f t="shared" si="0"/>
        <v>2242549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>Lebanon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18109</v>
      </c>
    </row>
    <row r="5" spans="1:4" x14ac:dyDescent="0.2">
      <c r="B5" t="s">
        <v>704</v>
      </c>
      <c r="C5" s="179">
        <f>IF('DOE25'!G664+'DOE25'!G669=0,0,ROUND('DOE25'!G671,0))</f>
        <v>17711</v>
      </c>
    </row>
    <row r="6" spans="1:4" x14ac:dyDescent="0.2">
      <c r="B6" t="s">
        <v>62</v>
      </c>
      <c r="C6" s="179">
        <f>IF('DOE25'!H664+'DOE25'!H669=0,0,ROUND('DOE25'!H671,0))</f>
        <v>16020</v>
      </c>
    </row>
    <row r="7" spans="1:4" x14ac:dyDescent="0.2">
      <c r="B7" t="s">
        <v>705</v>
      </c>
      <c r="C7" s="179">
        <f>IF('DOE25'!I664+'DOE25'!I669=0,0,ROUND('DOE25'!I671,0))</f>
        <v>17176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13465816</v>
      </c>
      <c r="D10" s="182">
        <f>ROUND((C10/$C$28)*100,1)</f>
        <v>41.6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6993811</v>
      </c>
      <c r="D11" s="182">
        <f>ROUND((C11/$C$28)*100,1)</f>
        <v>21.6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447408</v>
      </c>
      <c r="D12" s="182">
        <f>ROUND((C12/$C$28)*100,1)</f>
        <v>1.4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666408</v>
      </c>
      <c r="D13" s="182">
        <f>ROUND((C13/$C$28)*100,1)</f>
        <v>2.1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1359268</v>
      </c>
      <c r="D15" s="182">
        <f t="shared" ref="D15:D27" si="0">ROUND((C15/$C$28)*100,1)</f>
        <v>4.2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1866525</v>
      </c>
      <c r="D16" s="182">
        <f t="shared" si="0"/>
        <v>5.8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1289762</v>
      </c>
      <c r="D17" s="182">
        <f t="shared" si="0"/>
        <v>4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1435452</v>
      </c>
      <c r="D18" s="182">
        <f t="shared" si="0"/>
        <v>4.4000000000000004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2656983</v>
      </c>
      <c r="D20" s="182">
        <f t="shared" si="0"/>
        <v>8.1999999999999993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798614</v>
      </c>
      <c r="D21" s="182">
        <f t="shared" si="0"/>
        <v>2.5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83409</v>
      </c>
      <c r="D24" s="182">
        <f t="shared" si="0"/>
        <v>0.3</v>
      </c>
    </row>
    <row r="25" spans="1:4" x14ac:dyDescent="0.2">
      <c r="A25">
        <v>5120</v>
      </c>
      <c r="B25" t="s">
        <v>720</v>
      </c>
      <c r="C25" s="179">
        <f>ROUND('DOE25'!L260+'DOE25'!L341,0)</f>
        <v>1055024</v>
      </c>
      <c r="D25" s="182">
        <f t="shared" si="0"/>
        <v>3.3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226374.5</v>
      </c>
      <c r="D27" s="182">
        <f t="shared" si="0"/>
        <v>0.7</v>
      </c>
    </row>
    <row r="28" spans="1:4" x14ac:dyDescent="0.2">
      <c r="B28" s="187" t="s">
        <v>723</v>
      </c>
      <c r="C28" s="180">
        <f>SUM(C10:C27)</f>
        <v>32344854.5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1882344</v>
      </c>
    </row>
    <row r="30" spans="1:4" x14ac:dyDescent="0.2">
      <c r="B30" s="187" t="s">
        <v>729</v>
      </c>
      <c r="C30" s="180">
        <f>SUM(C28:C29)</f>
        <v>34227198.5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1800600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20134142</v>
      </c>
      <c r="D35" s="182">
        <f t="shared" ref="D35:D40" si="1">ROUND((C35/$C$41)*100,1)</f>
        <v>56.3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5458880.9599999972</v>
      </c>
      <c r="D36" s="182">
        <f t="shared" si="1"/>
        <v>15.3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7201963</v>
      </c>
      <c r="D37" s="182">
        <f t="shared" si="1"/>
        <v>20.100000000000001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1653728</v>
      </c>
      <c r="D38" s="182">
        <f t="shared" si="1"/>
        <v>4.5999999999999996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1328708</v>
      </c>
      <c r="D39" s="182">
        <f t="shared" si="1"/>
        <v>3.7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35777421.959999993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5" t="s">
        <v>770</v>
      </c>
      <c r="B1" s="286"/>
      <c r="C1" s="286"/>
      <c r="D1" s="286"/>
      <c r="E1" s="286"/>
      <c r="F1" s="286"/>
      <c r="G1" s="286"/>
      <c r="H1" s="286"/>
      <c r="I1" s="286"/>
      <c r="J1" s="213"/>
      <c r="K1" s="213"/>
      <c r="L1" s="213"/>
      <c r="M1" s="214"/>
    </row>
    <row r="2" spans="1:26" ht="12.75" x14ac:dyDescent="0.2">
      <c r="A2" s="291" t="s">
        <v>767</v>
      </c>
      <c r="B2" s="292"/>
      <c r="C2" s="292"/>
      <c r="D2" s="292"/>
      <c r="E2" s="292"/>
      <c r="F2" s="289" t="str">
        <f>'DOE25'!A2</f>
        <v>Lebanon</v>
      </c>
      <c r="G2" s="290"/>
      <c r="H2" s="290"/>
      <c r="I2" s="290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7" t="s">
        <v>771</v>
      </c>
      <c r="D3" s="287"/>
      <c r="E3" s="287"/>
      <c r="F3" s="287"/>
      <c r="G3" s="287"/>
      <c r="H3" s="287"/>
      <c r="I3" s="287"/>
      <c r="J3" s="287"/>
      <c r="K3" s="287"/>
      <c r="L3" s="287"/>
      <c r="M3" s="288"/>
    </row>
    <row r="4" spans="1:26" x14ac:dyDescent="0.2">
      <c r="A4" s="218"/>
      <c r="B4" s="219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1"/>
      <c r="AD29" s="281"/>
      <c r="AE29" s="281"/>
      <c r="AF29" s="281"/>
      <c r="AG29" s="281"/>
      <c r="AH29" s="281"/>
      <c r="AI29" s="281"/>
      <c r="AJ29" s="281"/>
      <c r="AK29" s="281"/>
      <c r="AL29" s="281"/>
      <c r="AM29" s="281"/>
      <c r="AN29" s="207"/>
      <c r="AO29" s="207"/>
      <c r="AP29" s="281"/>
      <c r="AQ29" s="281"/>
      <c r="AR29" s="281"/>
      <c r="AS29" s="281"/>
      <c r="AT29" s="281"/>
      <c r="AU29" s="281"/>
      <c r="AV29" s="281"/>
      <c r="AW29" s="281"/>
      <c r="AX29" s="281"/>
      <c r="AY29" s="281"/>
      <c r="AZ29" s="281"/>
      <c r="BA29" s="207"/>
      <c r="BB29" s="207"/>
      <c r="BC29" s="281"/>
      <c r="BD29" s="281"/>
      <c r="BE29" s="281"/>
      <c r="BF29" s="281"/>
      <c r="BG29" s="281"/>
      <c r="BH29" s="281"/>
      <c r="BI29" s="281"/>
      <c r="BJ29" s="281"/>
      <c r="BK29" s="281"/>
      <c r="BL29" s="281"/>
      <c r="BM29" s="281"/>
      <c r="BN29" s="207"/>
      <c r="BO29" s="207"/>
      <c r="BP29" s="281"/>
      <c r="BQ29" s="281"/>
      <c r="BR29" s="281"/>
      <c r="BS29" s="281"/>
      <c r="BT29" s="281"/>
      <c r="BU29" s="281"/>
      <c r="BV29" s="281"/>
      <c r="BW29" s="281"/>
      <c r="BX29" s="281"/>
      <c r="BY29" s="281"/>
      <c r="BZ29" s="281"/>
      <c r="CA29" s="207"/>
      <c r="CB29" s="207"/>
      <c r="CC29" s="281"/>
      <c r="CD29" s="281"/>
      <c r="CE29" s="281"/>
      <c r="CF29" s="281"/>
      <c r="CG29" s="281"/>
      <c r="CH29" s="281"/>
      <c r="CI29" s="281"/>
      <c r="CJ29" s="281"/>
      <c r="CK29" s="281"/>
      <c r="CL29" s="281"/>
      <c r="CM29" s="281"/>
      <c r="CN29" s="207"/>
      <c r="CO29" s="207"/>
      <c r="CP29" s="281"/>
      <c r="CQ29" s="281"/>
      <c r="CR29" s="281"/>
      <c r="CS29" s="281"/>
      <c r="CT29" s="281"/>
      <c r="CU29" s="281"/>
      <c r="CV29" s="281"/>
      <c r="CW29" s="281"/>
      <c r="CX29" s="281"/>
      <c r="CY29" s="281"/>
      <c r="CZ29" s="281"/>
      <c r="DA29" s="207"/>
      <c r="DB29" s="207"/>
      <c r="DC29" s="281"/>
      <c r="DD29" s="281"/>
      <c r="DE29" s="281"/>
      <c r="DF29" s="281"/>
      <c r="DG29" s="281"/>
      <c r="DH29" s="281"/>
      <c r="DI29" s="281"/>
      <c r="DJ29" s="281"/>
      <c r="DK29" s="281"/>
      <c r="DL29" s="281"/>
      <c r="DM29" s="281"/>
      <c r="DN29" s="207"/>
      <c r="DO29" s="207"/>
      <c r="DP29" s="281"/>
      <c r="DQ29" s="281"/>
      <c r="DR29" s="281"/>
      <c r="DS29" s="281"/>
      <c r="DT29" s="281"/>
      <c r="DU29" s="281"/>
      <c r="DV29" s="281"/>
      <c r="DW29" s="281"/>
      <c r="DX29" s="281"/>
      <c r="DY29" s="281"/>
      <c r="DZ29" s="281"/>
      <c r="EA29" s="207"/>
      <c r="EB29" s="207"/>
      <c r="EC29" s="281"/>
      <c r="ED29" s="281"/>
      <c r="EE29" s="281"/>
      <c r="EF29" s="281"/>
      <c r="EG29" s="281"/>
      <c r="EH29" s="281"/>
      <c r="EI29" s="281"/>
      <c r="EJ29" s="281"/>
      <c r="EK29" s="281"/>
      <c r="EL29" s="281"/>
      <c r="EM29" s="281"/>
      <c r="EN29" s="207"/>
      <c r="EO29" s="207"/>
      <c r="EP29" s="281"/>
      <c r="EQ29" s="281"/>
      <c r="ER29" s="281"/>
      <c r="ES29" s="281"/>
      <c r="ET29" s="281"/>
      <c r="EU29" s="281"/>
      <c r="EV29" s="281"/>
      <c r="EW29" s="281"/>
      <c r="EX29" s="281"/>
      <c r="EY29" s="281"/>
      <c r="EZ29" s="281"/>
      <c r="FA29" s="207"/>
      <c r="FB29" s="207"/>
      <c r="FC29" s="281"/>
      <c r="FD29" s="281"/>
      <c r="FE29" s="281"/>
      <c r="FF29" s="281"/>
      <c r="FG29" s="281"/>
      <c r="FH29" s="281"/>
      <c r="FI29" s="281"/>
      <c r="FJ29" s="281"/>
      <c r="FK29" s="281"/>
      <c r="FL29" s="281"/>
      <c r="FM29" s="281"/>
      <c r="FN29" s="207"/>
      <c r="FO29" s="207"/>
      <c r="FP29" s="281"/>
      <c r="FQ29" s="281"/>
      <c r="FR29" s="281"/>
      <c r="FS29" s="281"/>
      <c r="FT29" s="281"/>
      <c r="FU29" s="281"/>
      <c r="FV29" s="281"/>
      <c r="FW29" s="281"/>
      <c r="FX29" s="281"/>
      <c r="FY29" s="281"/>
      <c r="FZ29" s="281"/>
      <c r="GA29" s="207"/>
      <c r="GB29" s="207"/>
      <c r="GC29" s="281"/>
      <c r="GD29" s="281"/>
      <c r="GE29" s="281"/>
      <c r="GF29" s="281"/>
      <c r="GG29" s="281"/>
      <c r="GH29" s="281"/>
      <c r="GI29" s="281"/>
      <c r="GJ29" s="281"/>
      <c r="GK29" s="281"/>
      <c r="GL29" s="281"/>
      <c r="GM29" s="281"/>
      <c r="GN29" s="207"/>
      <c r="GO29" s="207"/>
      <c r="GP29" s="281"/>
      <c r="GQ29" s="281"/>
      <c r="GR29" s="281"/>
      <c r="GS29" s="281"/>
      <c r="GT29" s="281"/>
      <c r="GU29" s="281"/>
      <c r="GV29" s="281"/>
      <c r="GW29" s="281"/>
      <c r="GX29" s="281"/>
      <c r="GY29" s="281"/>
      <c r="GZ29" s="281"/>
      <c r="HA29" s="207"/>
      <c r="HB29" s="207"/>
      <c r="HC29" s="281"/>
      <c r="HD29" s="281"/>
      <c r="HE29" s="281"/>
      <c r="HF29" s="281"/>
      <c r="HG29" s="281"/>
      <c r="HH29" s="281"/>
      <c r="HI29" s="281"/>
      <c r="HJ29" s="281"/>
      <c r="HK29" s="281"/>
      <c r="HL29" s="281"/>
      <c r="HM29" s="281"/>
      <c r="HN29" s="207"/>
      <c r="HO29" s="207"/>
      <c r="HP29" s="281"/>
      <c r="HQ29" s="281"/>
      <c r="HR29" s="281"/>
      <c r="HS29" s="281"/>
      <c r="HT29" s="281"/>
      <c r="HU29" s="281"/>
      <c r="HV29" s="281"/>
      <c r="HW29" s="281"/>
      <c r="HX29" s="281"/>
      <c r="HY29" s="281"/>
      <c r="HZ29" s="281"/>
      <c r="IA29" s="207"/>
      <c r="IB29" s="207"/>
      <c r="IC29" s="281"/>
      <c r="ID29" s="281"/>
      <c r="IE29" s="281"/>
      <c r="IF29" s="281"/>
      <c r="IG29" s="281"/>
      <c r="IH29" s="281"/>
      <c r="II29" s="281"/>
      <c r="IJ29" s="281"/>
      <c r="IK29" s="281"/>
      <c r="IL29" s="281"/>
      <c r="IM29" s="281"/>
      <c r="IN29" s="207"/>
      <c r="IO29" s="207"/>
      <c r="IP29" s="281"/>
      <c r="IQ29" s="281"/>
      <c r="IR29" s="281"/>
      <c r="IS29" s="281"/>
      <c r="IT29" s="281"/>
      <c r="IU29" s="281"/>
      <c r="IV29" s="281"/>
    </row>
    <row r="30" spans="1:256" x14ac:dyDescent="0.2">
      <c r="A30" s="218"/>
      <c r="B30" s="219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1"/>
      <c r="AD30" s="281"/>
      <c r="AE30" s="281"/>
      <c r="AF30" s="281"/>
      <c r="AG30" s="281"/>
      <c r="AH30" s="281"/>
      <c r="AI30" s="281"/>
      <c r="AJ30" s="281"/>
      <c r="AK30" s="281"/>
      <c r="AL30" s="281"/>
      <c r="AM30" s="281"/>
      <c r="AN30" s="207"/>
      <c r="AO30" s="207"/>
      <c r="AP30" s="281"/>
      <c r="AQ30" s="281"/>
      <c r="AR30" s="281"/>
      <c r="AS30" s="281"/>
      <c r="AT30" s="281"/>
      <c r="AU30" s="281"/>
      <c r="AV30" s="281"/>
      <c r="AW30" s="281"/>
      <c r="AX30" s="281"/>
      <c r="AY30" s="281"/>
      <c r="AZ30" s="281"/>
      <c r="BA30" s="207"/>
      <c r="BB30" s="207"/>
      <c r="BC30" s="281"/>
      <c r="BD30" s="281"/>
      <c r="BE30" s="281"/>
      <c r="BF30" s="281"/>
      <c r="BG30" s="281"/>
      <c r="BH30" s="281"/>
      <c r="BI30" s="281"/>
      <c r="BJ30" s="281"/>
      <c r="BK30" s="281"/>
      <c r="BL30" s="281"/>
      <c r="BM30" s="281"/>
      <c r="BN30" s="207"/>
      <c r="BO30" s="207"/>
      <c r="BP30" s="281"/>
      <c r="BQ30" s="281"/>
      <c r="BR30" s="281"/>
      <c r="BS30" s="281"/>
      <c r="BT30" s="281"/>
      <c r="BU30" s="281"/>
      <c r="BV30" s="281"/>
      <c r="BW30" s="281"/>
      <c r="BX30" s="281"/>
      <c r="BY30" s="281"/>
      <c r="BZ30" s="281"/>
      <c r="CA30" s="207"/>
      <c r="CB30" s="207"/>
      <c r="CC30" s="281"/>
      <c r="CD30" s="281"/>
      <c r="CE30" s="281"/>
      <c r="CF30" s="281"/>
      <c r="CG30" s="281"/>
      <c r="CH30" s="281"/>
      <c r="CI30" s="281"/>
      <c r="CJ30" s="281"/>
      <c r="CK30" s="281"/>
      <c r="CL30" s="281"/>
      <c r="CM30" s="281"/>
      <c r="CN30" s="207"/>
      <c r="CO30" s="207"/>
      <c r="CP30" s="281"/>
      <c r="CQ30" s="281"/>
      <c r="CR30" s="281"/>
      <c r="CS30" s="281"/>
      <c r="CT30" s="281"/>
      <c r="CU30" s="281"/>
      <c r="CV30" s="281"/>
      <c r="CW30" s="281"/>
      <c r="CX30" s="281"/>
      <c r="CY30" s="281"/>
      <c r="CZ30" s="281"/>
      <c r="DA30" s="207"/>
      <c r="DB30" s="207"/>
      <c r="DC30" s="281"/>
      <c r="DD30" s="281"/>
      <c r="DE30" s="281"/>
      <c r="DF30" s="281"/>
      <c r="DG30" s="281"/>
      <c r="DH30" s="281"/>
      <c r="DI30" s="281"/>
      <c r="DJ30" s="281"/>
      <c r="DK30" s="281"/>
      <c r="DL30" s="281"/>
      <c r="DM30" s="281"/>
      <c r="DN30" s="207"/>
      <c r="DO30" s="207"/>
      <c r="DP30" s="281"/>
      <c r="DQ30" s="281"/>
      <c r="DR30" s="281"/>
      <c r="DS30" s="281"/>
      <c r="DT30" s="281"/>
      <c r="DU30" s="281"/>
      <c r="DV30" s="281"/>
      <c r="DW30" s="281"/>
      <c r="DX30" s="281"/>
      <c r="DY30" s="281"/>
      <c r="DZ30" s="281"/>
      <c r="EA30" s="207"/>
      <c r="EB30" s="207"/>
      <c r="EC30" s="281"/>
      <c r="ED30" s="281"/>
      <c r="EE30" s="281"/>
      <c r="EF30" s="281"/>
      <c r="EG30" s="281"/>
      <c r="EH30" s="281"/>
      <c r="EI30" s="281"/>
      <c r="EJ30" s="281"/>
      <c r="EK30" s="281"/>
      <c r="EL30" s="281"/>
      <c r="EM30" s="281"/>
      <c r="EN30" s="207"/>
      <c r="EO30" s="207"/>
      <c r="EP30" s="281"/>
      <c r="EQ30" s="281"/>
      <c r="ER30" s="281"/>
      <c r="ES30" s="281"/>
      <c r="ET30" s="281"/>
      <c r="EU30" s="281"/>
      <c r="EV30" s="281"/>
      <c r="EW30" s="281"/>
      <c r="EX30" s="281"/>
      <c r="EY30" s="281"/>
      <c r="EZ30" s="281"/>
      <c r="FA30" s="207"/>
      <c r="FB30" s="207"/>
      <c r="FC30" s="281"/>
      <c r="FD30" s="281"/>
      <c r="FE30" s="281"/>
      <c r="FF30" s="281"/>
      <c r="FG30" s="281"/>
      <c r="FH30" s="281"/>
      <c r="FI30" s="281"/>
      <c r="FJ30" s="281"/>
      <c r="FK30" s="281"/>
      <c r="FL30" s="281"/>
      <c r="FM30" s="281"/>
      <c r="FN30" s="207"/>
      <c r="FO30" s="207"/>
      <c r="FP30" s="281"/>
      <c r="FQ30" s="281"/>
      <c r="FR30" s="281"/>
      <c r="FS30" s="281"/>
      <c r="FT30" s="281"/>
      <c r="FU30" s="281"/>
      <c r="FV30" s="281"/>
      <c r="FW30" s="281"/>
      <c r="FX30" s="281"/>
      <c r="FY30" s="281"/>
      <c r="FZ30" s="281"/>
      <c r="GA30" s="207"/>
      <c r="GB30" s="207"/>
      <c r="GC30" s="281"/>
      <c r="GD30" s="281"/>
      <c r="GE30" s="281"/>
      <c r="GF30" s="281"/>
      <c r="GG30" s="281"/>
      <c r="GH30" s="281"/>
      <c r="GI30" s="281"/>
      <c r="GJ30" s="281"/>
      <c r="GK30" s="281"/>
      <c r="GL30" s="281"/>
      <c r="GM30" s="281"/>
      <c r="GN30" s="207"/>
      <c r="GO30" s="207"/>
      <c r="GP30" s="281"/>
      <c r="GQ30" s="281"/>
      <c r="GR30" s="281"/>
      <c r="GS30" s="281"/>
      <c r="GT30" s="281"/>
      <c r="GU30" s="281"/>
      <c r="GV30" s="281"/>
      <c r="GW30" s="281"/>
      <c r="GX30" s="281"/>
      <c r="GY30" s="281"/>
      <c r="GZ30" s="281"/>
      <c r="HA30" s="207"/>
      <c r="HB30" s="207"/>
      <c r="HC30" s="281"/>
      <c r="HD30" s="281"/>
      <c r="HE30" s="281"/>
      <c r="HF30" s="281"/>
      <c r="HG30" s="281"/>
      <c r="HH30" s="281"/>
      <c r="HI30" s="281"/>
      <c r="HJ30" s="281"/>
      <c r="HK30" s="281"/>
      <c r="HL30" s="281"/>
      <c r="HM30" s="281"/>
      <c r="HN30" s="207"/>
      <c r="HO30" s="207"/>
      <c r="HP30" s="281"/>
      <c r="HQ30" s="281"/>
      <c r="HR30" s="281"/>
      <c r="HS30" s="281"/>
      <c r="HT30" s="281"/>
      <c r="HU30" s="281"/>
      <c r="HV30" s="281"/>
      <c r="HW30" s="281"/>
      <c r="HX30" s="281"/>
      <c r="HY30" s="281"/>
      <c r="HZ30" s="281"/>
      <c r="IA30" s="207"/>
      <c r="IB30" s="207"/>
      <c r="IC30" s="281"/>
      <c r="ID30" s="281"/>
      <c r="IE30" s="281"/>
      <c r="IF30" s="281"/>
      <c r="IG30" s="281"/>
      <c r="IH30" s="281"/>
      <c r="II30" s="281"/>
      <c r="IJ30" s="281"/>
      <c r="IK30" s="281"/>
      <c r="IL30" s="281"/>
      <c r="IM30" s="281"/>
      <c r="IN30" s="207"/>
      <c r="IO30" s="207"/>
      <c r="IP30" s="281"/>
      <c r="IQ30" s="281"/>
      <c r="IR30" s="281"/>
      <c r="IS30" s="281"/>
      <c r="IT30" s="281"/>
      <c r="IU30" s="281"/>
      <c r="IV30" s="281"/>
    </row>
    <row r="31" spans="1:256" x14ac:dyDescent="0.2">
      <c r="A31" s="218"/>
      <c r="B31" s="219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1"/>
      <c r="AD31" s="281"/>
      <c r="AE31" s="281"/>
      <c r="AF31" s="281"/>
      <c r="AG31" s="281"/>
      <c r="AH31" s="281"/>
      <c r="AI31" s="281"/>
      <c r="AJ31" s="281"/>
      <c r="AK31" s="281"/>
      <c r="AL31" s="281"/>
      <c r="AM31" s="281"/>
      <c r="AN31" s="207"/>
      <c r="AO31" s="207"/>
      <c r="AP31" s="281"/>
      <c r="AQ31" s="281"/>
      <c r="AR31" s="281"/>
      <c r="AS31" s="281"/>
      <c r="AT31" s="281"/>
      <c r="AU31" s="281"/>
      <c r="AV31" s="281"/>
      <c r="AW31" s="281"/>
      <c r="AX31" s="281"/>
      <c r="AY31" s="281"/>
      <c r="AZ31" s="281"/>
      <c r="BA31" s="207"/>
      <c r="BB31" s="207"/>
      <c r="BC31" s="281"/>
      <c r="BD31" s="281"/>
      <c r="BE31" s="281"/>
      <c r="BF31" s="281"/>
      <c r="BG31" s="281"/>
      <c r="BH31" s="281"/>
      <c r="BI31" s="281"/>
      <c r="BJ31" s="281"/>
      <c r="BK31" s="281"/>
      <c r="BL31" s="281"/>
      <c r="BM31" s="281"/>
      <c r="BN31" s="207"/>
      <c r="BO31" s="207"/>
      <c r="BP31" s="281"/>
      <c r="BQ31" s="281"/>
      <c r="BR31" s="281"/>
      <c r="BS31" s="281"/>
      <c r="BT31" s="281"/>
      <c r="BU31" s="281"/>
      <c r="BV31" s="281"/>
      <c r="BW31" s="281"/>
      <c r="BX31" s="281"/>
      <c r="BY31" s="281"/>
      <c r="BZ31" s="281"/>
      <c r="CA31" s="207"/>
      <c r="CB31" s="207"/>
      <c r="CC31" s="281"/>
      <c r="CD31" s="281"/>
      <c r="CE31" s="281"/>
      <c r="CF31" s="281"/>
      <c r="CG31" s="281"/>
      <c r="CH31" s="281"/>
      <c r="CI31" s="281"/>
      <c r="CJ31" s="281"/>
      <c r="CK31" s="281"/>
      <c r="CL31" s="281"/>
      <c r="CM31" s="281"/>
      <c r="CN31" s="207"/>
      <c r="CO31" s="207"/>
      <c r="CP31" s="281"/>
      <c r="CQ31" s="281"/>
      <c r="CR31" s="281"/>
      <c r="CS31" s="281"/>
      <c r="CT31" s="281"/>
      <c r="CU31" s="281"/>
      <c r="CV31" s="281"/>
      <c r="CW31" s="281"/>
      <c r="CX31" s="281"/>
      <c r="CY31" s="281"/>
      <c r="CZ31" s="281"/>
      <c r="DA31" s="207"/>
      <c r="DB31" s="207"/>
      <c r="DC31" s="281"/>
      <c r="DD31" s="281"/>
      <c r="DE31" s="281"/>
      <c r="DF31" s="281"/>
      <c r="DG31" s="281"/>
      <c r="DH31" s="281"/>
      <c r="DI31" s="281"/>
      <c r="DJ31" s="281"/>
      <c r="DK31" s="281"/>
      <c r="DL31" s="281"/>
      <c r="DM31" s="281"/>
      <c r="DN31" s="207"/>
      <c r="DO31" s="207"/>
      <c r="DP31" s="281"/>
      <c r="DQ31" s="281"/>
      <c r="DR31" s="281"/>
      <c r="DS31" s="281"/>
      <c r="DT31" s="281"/>
      <c r="DU31" s="281"/>
      <c r="DV31" s="281"/>
      <c r="DW31" s="281"/>
      <c r="DX31" s="281"/>
      <c r="DY31" s="281"/>
      <c r="DZ31" s="281"/>
      <c r="EA31" s="207"/>
      <c r="EB31" s="207"/>
      <c r="EC31" s="281"/>
      <c r="ED31" s="281"/>
      <c r="EE31" s="281"/>
      <c r="EF31" s="281"/>
      <c r="EG31" s="281"/>
      <c r="EH31" s="281"/>
      <c r="EI31" s="281"/>
      <c r="EJ31" s="281"/>
      <c r="EK31" s="281"/>
      <c r="EL31" s="281"/>
      <c r="EM31" s="281"/>
      <c r="EN31" s="207"/>
      <c r="EO31" s="207"/>
      <c r="EP31" s="281"/>
      <c r="EQ31" s="281"/>
      <c r="ER31" s="281"/>
      <c r="ES31" s="281"/>
      <c r="ET31" s="281"/>
      <c r="EU31" s="281"/>
      <c r="EV31" s="281"/>
      <c r="EW31" s="281"/>
      <c r="EX31" s="281"/>
      <c r="EY31" s="281"/>
      <c r="EZ31" s="281"/>
      <c r="FA31" s="207"/>
      <c r="FB31" s="207"/>
      <c r="FC31" s="281"/>
      <c r="FD31" s="281"/>
      <c r="FE31" s="281"/>
      <c r="FF31" s="281"/>
      <c r="FG31" s="281"/>
      <c r="FH31" s="281"/>
      <c r="FI31" s="281"/>
      <c r="FJ31" s="281"/>
      <c r="FK31" s="281"/>
      <c r="FL31" s="281"/>
      <c r="FM31" s="281"/>
      <c r="FN31" s="207"/>
      <c r="FO31" s="207"/>
      <c r="FP31" s="281"/>
      <c r="FQ31" s="281"/>
      <c r="FR31" s="281"/>
      <c r="FS31" s="281"/>
      <c r="FT31" s="281"/>
      <c r="FU31" s="281"/>
      <c r="FV31" s="281"/>
      <c r="FW31" s="281"/>
      <c r="FX31" s="281"/>
      <c r="FY31" s="281"/>
      <c r="FZ31" s="281"/>
      <c r="GA31" s="207"/>
      <c r="GB31" s="207"/>
      <c r="GC31" s="281"/>
      <c r="GD31" s="281"/>
      <c r="GE31" s="281"/>
      <c r="GF31" s="281"/>
      <c r="GG31" s="281"/>
      <c r="GH31" s="281"/>
      <c r="GI31" s="281"/>
      <c r="GJ31" s="281"/>
      <c r="GK31" s="281"/>
      <c r="GL31" s="281"/>
      <c r="GM31" s="281"/>
      <c r="GN31" s="207"/>
      <c r="GO31" s="207"/>
      <c r="GP31" s="281"/>
      <c r="GQ31" s="281"/>
      <c r="GR31" s="281"/>
      <c r="GS31" s="281"/>
      <c r="GT31" s="281"/>
      <c r="GU31" s="281"/>
      <c r="GV31" s="281"/>
      <c r="GW31" s="281"/>
      <c r="GX31" s="281"/>
      <c r="GY31" s="281"/>
      <c r="GZ31" s="281"/>
      <c r="HA31" s="207"/>
      <c r="HB31" s="207"/>
      <c r="HC31" s="281"/>
      <c r="HD31" s="281"/>
      <c r="HE31" s="281"/>
      <c r="HF31" s="281"/>
      <c r="HG31" s="281"/>
      <c r="HH31" s="281"/>
      <c r="HI31" s="281"/>
      <c r="HJ31" s="281"/>
      <c r="HK31" s="281"/>
      <c r="HL31" s="281"/>
      <c r="HM31" s="281"/>
      <c r="HN31" s="207"/>
      <c r="HO31" s="207"/>
      <c r="HP31" s="281"/>
      <c r="HQ31" s="281"/>
      <c r="HR31" s="281"/>
      <c r="HS31" s="281"/>
      <c r="HT31" s="281"/>
      <c r="HU31" s="281"/>
      <c r="HV31" s="281"/>
      <c r="HW31" s="281"/>
      <c r="HX31" s="281"/>
      <c r="HY31" s="281"/>
      <c r="HZ31" s="281"/>
      <c r="IA31" s="207"/>
      <c r="IB31" s="207"/>
      <c r="IC31" s="281"/>
      <c r="ID31" s="281"/>
      <c r="IE31" s="281"/>
      <c r="IF31" s="281"/>
      <c r="IG31" s="281"/>
      <c r="IH31" s="281"/>
      <c r="II31" s="281"/>
      <c r="IJ31" s="281"/>
      <c r="IK31" s="281"/>
      <c r="IL31" s="281"/>
      <c r="IM31" s="281"/>
      <c r="IN31" s="207"/>
      <c r="IO31" s="207"/>
      <c r="IP31" s="281"/>
      <c r="IQ31" s="281"/>
      <c r="IR31" s="281"/>
      <c r="IS31" s="281"/>
      <c r="IT31" s="281"/>
      <c r="IU31" s="281"/>
      <c r="IV31" s="281"/>
    </row>
    <row r="32" spans="1:256" x14ac:dyDescent="0.2">
      <c r="A32" s="218"/>
      <c r="B32" s="219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3"/>
      <c r="O32" s="22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8"/>
      <c r="AB32" s="219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8"/>
      <c r="AO32" s="219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8"/>
      <c r="BB32" s="219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8"/>
      <c r="BO32" s="219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8"/>
      <c r="CB32" s="219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8"/>
      <c r="CO32" s="219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8"/>
      <c r="DB32" s="219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8"/>
      <c r="DO32" s="219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8"/>
      <c r="EB32" s="219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8"/>
      <c r="EO32" s="219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8"/>
      <c r="FB32" s="219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8"/>
      <c r="FO32" s="219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8"/>
      <c r="GB32" s="219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8"/>
      <c r="GO32" s="219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8"/>
      <c r="HB32" s="219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8"/>
      <c r="HO32" s="219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8"/>
      <c r="IB32" s="219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8"/>
      <c r="IO32" s="219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8"/>
      <c r="B33" s="219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1"/>
      <c r="AD38" s="281"/>
      <c r="AE38" s="281"/>
      <c r="AF38" s="281"/>
      <c r="AG38" s="281"/>
      <c r="AH38" s="281"/>
      <c r="AI38" s="281"/>
      <c r="AJ38" s="281"/>
      <c r="AK38" s="281"/>
      <c r="AL38" s="281"/>
      <c r="AM38" s="281"/>
      <c r="AN38" s="207"/>
      <c r="AO38" s="207"/>
      <c r="AP38" s="281"/>
      <c r="AQ38" s="281"/>
      <c r="AR38" s="281"/>
      <c r="AS38" s="281"/>
      <c r="AT38" s="281"/>
      <c r="AU38" s="281"/>
      <c r="AV38" s="281"/>
      <c r="AW38" s="281"/>
      <c r="AX38" s="281"/>
      <c r="AY38" s="281"/>
      <c r="AZ38" s="281"/>
      <c r="BA38" s="207"/>
      <c r="BB38" s="207"/>
      <c r="BC38" s="281"/>
      <c r="BD38" s="281"/>
      <c r="BE38" s="281"/>
      <c r="BF38" s="281"/>
      <c r="BG38" s="281"/>
      <c r="BH38" s="281"/>
      <c r="BI38" s="281"/>
      <c r="BJ38" s="281"/>
      <c r="BK38" s="281"/>
      <c r="BL38" s="281"/>
      <c r="BM38" s="281"/>
      <c r="BN38" s="207"/>
      <c r="BO38" s="207"/>
      <c r="BP38" s="281"/>
      <c r="BQ38" s="281"/>
      <c r="BR38" s="281"/>
      <c r="BS38" s="281"/>
      <c r="BT38" s="281"/>
      <c r="BU38" s="281"/>
      <c r="BV38" s="281"/>
      <c r="BW38" s="281"/>
      <c r="BX38" s="281"/>
      <c r="BY38" s="281"/>
      <c r="BZ38" s="281"/>
      <c r="CA38" s="207"/>
      <c r="CB38" s="207"/>
      <c r="CC38" s="281"/>
      <c r="CD38" s="281"/>
      <c r="CE38" s="281"/>
      <c r="CF38" s="281"/>
      <c r="CG38" s="281"/>
      <c r="CH38" s="281"/>
      <c r="CI38" s="281"/>
      <c r="CJ38" s="281"/>
      <c r="CK38" s="281"/>
      <c r="CL38" s="281"/>
      <c r="CM38" s="281"/>
      <c r="CN38" s="207"/>
      <c r="CO38" s="207"/>
      <c r="CP38" s="281"/>
      <c r="CQ38" s="281"/>
      <c r="CR38" s="281"/>
      <c r="CS38" s="281"/>
      <c r="CT38" s="281"/>
      <c r="CU38" s="281"/>
      <c r="CV38" s="281"/>
      <c r="CW38" s="281"/>
      <c r="CX38" s="281"/>
      <c r="CY38" s="281"/>
      <c r="CZ38" s="281"/>
      <c r="DA38" s="207"/>
      <c r="DB38" s="207"/>
      <c r="DC38" s="281"/>
      <c r="DD38" s="281"/>
      <c r="DE38" s="281"/>
      <c r="DF38" s="281"/>
      <c r="DG38" s="281"/>
      <c r="DH38" s="281"/>
      <c r="DI38" s="281"/>
      <c r="DJ38" s="281"/>
      <c r="DK38" s="281"/>
      <c r="DL38" s="281"/>
      <c r="DM38" s="281"/>
      <c r="DN38" s="207"/>
      <c r="DO38" s="207"/>
      <c r="DP38" s="281"/>
      <c r="DQ38" s="281"/>
      <c r="DR38" s="281"/>
      <c r="DS38" s="281"/>
      <c r="DT38" s="281"/>
      <c r="DU38" s="281"/>
      <c r="DV38" s="281"/>
      <c r="DW38" s="281"/>
      <c r="DX38" s="281"/>
      <c r="DY38" s="281"/>
      <c r="DZ38" s="281"/>
      <c r="EA38" s="207"/>
      <c r="EB38" s="207"/>
      <c r="EC38" s="281"/>
      <c r="ED38" s="281"/>
      <c r="EE38" s="281"/>
      <c r="EF38" s="281"/>
      <c r="EG38" s="281"/>
      <c r="EH38" s="281"/>
      <c r="EI38" s="281"/>
      <c r="EJ38" s="281"/>
      <c r="EK38" s="281"/>
      <c r="EL38" s="281"/>
      <c r="EM38" s="281"/>
      <c r="EN38" s="207"/>
      <c r="EO38" s="207"/>
      <c r="EP38" s="281"/>
      <c r="EQ38" s="281"/>
      <c r="ER38" s="281"/>
      <c r="ES38" s="281"/>
      <c r="ET38" s="281"/>
      <c r="EU38" s="281"/>
      <c r="EV38" s="281"/>
      <c r="EW38" s="281"/>
      <c r="EX38" s="281"/>
      <c r="EY38" s="281"/>
      <c r="EZ38" s="281"/>
      <c r="FA38" s="207"/>
      <c r="FB38" s="207"/>
      <c r="FC38" s="281"/>
      <c r="FD38" s="281"/>
      <c r="FE38" s="281"/>
      <c r="FF38" s="281"/>
      <c r="FG38" s="281"/>
      <c r="FH38" s="281"/>
      <c r="FI38" s="281"/>
      <c r="FJ38" s="281"/>
      <c r="FK38" s="281"/>
      <c r="FL38" s="281"/>
      <c r="FM38" s="281"/>
      <c r="FN38" s="207"/>
      <c r="FO38" s="207"/>
      <c r="FP38" s="281"/>
      <c r="FQ38" s="281"/>
      <c r="FR38" s="281"/>
      <c r="FS38" s="281"/>
      <c r="FT38" s="281"/>
      <c r="FU38" s="281"/>
      <c r="FV38" s="281"/>
      <c r="FW38" s="281"/>
      <c r="FX38" s="281"/>
      <c r="FY38" s="281"/>
      <c r="FZ38" s="281"/>
      <c r="GA38" s="207"/>
      <c r="GB38" s="207"/>
      <c r="GC38" s="281"/>
      <c r="GD38" s="281"/>
      <c r="GE38" s="281"/>
      <c r="GF38" s="281"/>
      <c r="GG38" s="281"/>
      <c r="GH38" s="281"/>
      <c r="GI38" s="281"/>
      <c r="GJ38" s="281"/>
      <c r="GK38" s="281"/>
      <c r="GL38" s="281"/>
      <c r="GM38" s="281"/>
      <c r="GN38" s="207"/>
      <c r="GO38" s="207"/>
      <c r="GP38" s="281"/>
      <c r="GQ38" s="281"/>
      <c r="GR38" s="281"/>
      <c r="GS38" s="281"/>
      <c r="GT38" s="281"/>
      <c r="GU38" s="281"/>
      <c r="GV38" s="281"/>
      <c r="GW38" s="281"/>
      <c r="GX38" s="281"/>
      <c r="GY38" s="281"/>
      <c r="GZ38" s="281"/>
      <c r="HA38" s="207"/>
      <c r="HB38" s="207"/>
      <c r="HC38" s="281"/>
      <c r="HD38" s="281"/>
      <c r="HE38" s="281"/>
      <c r="HF38" s="281"/>
      <c r="HG38" s="281"/>
      <c r="HH38" s="281"/>
      <c r="HI38" s="281"/>
      <c r="HJ38" s="281"/>
      <c r="HK38" s="281"/>
      <c r="HL38" s="281"/>
      <c r="HM38" s="281"/>
      <c r="HN38" s="207"/>
      <c r="HO38" s="207"/>
      <c r="HP38" s="281"/>
      <c r="HQ38" s="281"/>
      <c r="HR38" s="281"/>
      <c r="HS38" s="281"/>
      <c r="HT38" s="281"/>
      <c r="HU38" s="281"/>
      <c r="HV38" s="281"/>
      <c r="HW38" s="281"/>
      <c r="HX38" s="281"/>
      <c r="HY38" s="281"/>
      <c r="HZ38" s="281"/>
      <c r="IA38" s="207"/>
      <c r="IB38" s="207"/>
      <c r="IC38" s="281"/>
      <c r="ID38" s="281"/>
      <c r="IE38" s="281"/>
      <c r="IF38" s="281"/>
      <c r="IG38" s="281"/>
      <c r="IH38" s="281"/>
      <c r="II38" s="281"/>
      <c r="IJ38" s="281"/>
      <c r="IK38" s="281"/>
      <c r="IL38" s="281"/>
      <c r="IM38" s="281"/>
      <c r="IN38" s="207"/>
      <c r="IO38" s="207"/>
      <c r="IP38" s="281"/>
      <c r="IQ38" s="281"/>
      <c r="IR38" s="281"/>
      <c r="IS38" s="281"/>
      <c r="IT38" s="281"/>
      <c r="IU38" s="281"/>
      <c r="IV38" s="281"/>
    </row>
    <row r="39" spans="1:256" x14ac:dyDescent="0.2">
      <c r="A39" s="218"/>
      <c r="B39" s="219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1"/>
      <c r="AD39" s="281"/>
      <c r="AE39" s="281"/>
      <c r="AF39" s="281"/>
      <c r="AG39" s="281"/>
      <c r="AH39" s="281"/>
      <c r="AI39" s="281"/>
      <c r="AJ39" s="281"/>
      <c r="AK39" s="281"/>
      <c r="AL39" s="281"/>
      <c r="AM39" s="281"/>
      <c r="AN39" s="207"/>
      <c r="AO39" s="207"/>
      <c r="AP39" s="281"/>
      <c r="AQ39" s="281"/>
      <c r="AR39" s="281"/>
      <c r="AS39" s="281"/>
      <c r="AT39" s="281"/>
      <c r="AU39" s="281"/>
      <c r="AV39" s="281"/>
      <c r="AW39" s="281"/>
      <c r="AX39" s="281"/>
      <c r="AY39" s="281"/>
      <c r="AZ39" s="281"/>
      <c r="BA39" s="207"/>
      <c r="BB39" s="207"/>
      <c r="BC39" s="281"/>
      <c r="BD39" s="281"/>
      <c r="BE39" s="281"/>
      <c r="BF39" s="281"/>
      <c r="BG39" s="281"/>
      <c r="BH39" s="281"/>
      <c r="BI39" s="281"/>
      <c r="BJ39" s="281"/>
      <c r="BK39" s="281"/>
      <c r="BL39" s="281"/>
      <c r="BM39" s="281"/>
      <c r="BN39" s="207"/>
      <c r="BO39" s="207"/>
      <c r="BP39" s="281"/>
      <c r="BQ39" s="281"/>
      <c r="BR39" s="281"/>
      <c r="BS39" s="281"/>
      <c r="BT39" s="281"/>
      <c r="BU39" s="281"/>
      <c r="BV39" s="281"/>
      <c r="BW39" s="281"/>
      <c r="BX39" s="281"/>
      <c r="BY39" s="281"/>
      <c r="BZ39" s="281"/>
      <c r="CA39" s="207"/>
      <c r="CB39" s="207"/>
      <c r="CC39" s="281"/>
      <c r="CD39" s="281"/>
      <c r="CE39" s="281"/>
      <c r="CF39" s="281"/>
      <c r="CG39" s="281"/>
      <c r="CH39" s="281"/>
      <c r="CI39" s="281"/>
      <c r="CJ39" s="281"/>
      <c r="CK39" s="281"/>
      <c r="CL39" s="281"/>
      <c r="CM39" s="281"/>
      <c r="CN39" s="207"/>
      <c r="CO39" s="207"/>
      <c r="CP39" s="281"/>
      <c r="CQ39" s="281"/>
      <c r="CR39" s="281"/>
      <c r="CS39" s="281"/>
      <c r="CT39" s="281"/>
      <c r="CU39" s="281"/>
      <c r="CV39" s="281"/>
      <c r="CW39" s="281"/>
      <c r="CX39" s="281"/>
      <c r="CY39" s="281"/>
      <c r="CZ39" s="281"/>
      <c r="DA39" s="207"/>
      <c r="DB39" s="207"/>
      <c r="DC39" s="281"/>
      <c r="DD39" s="281"/>
      <c r="DE39" s="281"/>
      <c r="DF39" s="281"/>
      <c r="DG39" s="281"/>
      <c r="DH39" s="281"/>
      <c r="DI39" s="281"/>
      <c r="DJ39" s="281"/>
      <c r="DK39" s="281"/>
      <c r="DL39" s="281"/>
      <c r="DM39" s="281"/>
      <c r="DN39" s="207"/>
      <c r="DO39" s="207"/>
      <c r="DP39" s="281"/>
      <c r="DQ39" s="281"/>
      <c r="DR39" s="281"/>
      <c r="DS39" s="281"/>
      <c r="DT39" s="281"/>
      <c r="DU39" s="281"/>
      <c r="DV39" s="281"/>
      <c r="DW39" s="281"/>
      <c r="DX39" s="281"/>
      <c r="DY39" s="281"/>
      <c r="DZ39" s="281"/>
      <c r="EA39" s="207"/>
      <c r="EB39" s="207"/>
      <c r="EC39" s="281"/>
      <c r="ED39" s="281"/>
      <c r="EE39" s="281"/>
      <c r="EF39" s="281"/>
      <c r="EG39" s="281"/>
      <c r="EH39" s="281"/>
      <c r="EI39" s="281"/>
      <c r="EJ39" s="281"/>
      <c r="EK39" s="281"/>
      <c r="EL39" s="281"/>
      <c r="EM39" s="281"/>
      <c r="EN39" s="207"/>
      <c r="EO39" s="207"/>
      <c r="EP39" s="281"/>
      <c r="EQ39" s="281"/>
      <c r="ER39" s="281"/>
      <c r="ES39" s="281"/>
      <c r="ET39" s="281"/>
      <c r="EU39" s="281"/>
      <c r="EV39" s="281"/>
      <c r="EW39" s="281"/>
      <c r="EX39" s="281"/>
      <c r="EY39" s="281"/>
      <c r="EZ39" s="281"/>
      <c r="FA39" s="207"/>
      <c r="FB39" s="207"/>
      <c r="FC39" s="281"/>
      <c r="FD39" s="281"/>
      <c r="FE39" s="281"/>
      <c r="FF39" s="281"/>
      <c r="FG39" s="281"/>
      <c r="FH39" s="281"/>
      <c r="FI39" s="281"/>
      <c r="FJ39" s="281"/>
      <c r="FK39" s="281"/>
      <c r="FL39" s="281"/>
      <c r="FM39" s="281"/>
      <c r="FN39" s="207"/>
      <c r="FO39" s="207"/>
      <c r="FP39" s="281"/>
      <c r="FQ39" s="281"/>
      <c r="FR39" s="281"/>
      <c r="FS39" s="281"/>
      <c r="FT39" s="281"/>
      <c r="FU39" s="281"/>
      <c r="FV39" s="281"/>
      <c r="FW39" s="281"/>
      <c r="FX39" s="281"/>
      <c r="FY39" s="281"/>
      <c r="FZ39" s="281"/>
      <c r="GA39" s="207"/>
      <c r="GB39" s="207"/>
      <c r="GC39" s="281"/>
      <c r="GD39" s="281"/>
      <c r="GE39" s="281"/>
      <c r="GF39" s="281"/>
      <c r="GG39" s="281"/>
      <c r="GH39" s="281"/>
      <c r="GI39" s="281"/>
      <c r="GJ39" s="281"/>
      <c r="GK39" s="281"/>
      <c r="GL39" s="281"/>
      <c r="GM39" s="281"/>
      <c r="GN39" s="207"/>
      <c r="GO39" s="207"/>
      <c r="GP39" s="281"/>
      <c r="GQ39" s="281"/>
      <c r="GR39" s="281"/>
      <c r="GS39" s="281"/>
      <c r="GT39" s="281"/>
      <c r="GU39" s="281"/>
      <c r="GV39" s="281"/>
      <c r="GW39" s="281"/>
      <c r="GX39" s="281"/>
      <c r="GY39" s="281"/>
      <c r="GZ39" s="281"/>
      <c r="HA39" s="207"/>
      <c r="HB39" s="207"/>
      <c r="HC39" s="281"/>
      <c r="HD39" s="281"/>
      <c r="HE39" s="281"/>
      <c r="HF39" s="281"/>
      <c r="HG39" s="281"/>
      <c r="HH39" s="281"/>
      <c r="HI39" s="281"/>
      <c r="HJ39" s="281"/>
      <c r="HK39" s="281"/>
      <c r="HL39" s="281"/>
      <c r="HM39" s="281"/>
      <c r="HN39" s="207"/>
      <c r="HO39" s="207"/>
      <c r="HP39" s="281"/>
      <c r="HQ39" s="281"/>
      <c r="HR39" s="281"/>
      <c r="HS39" s="281"/>
      <c r="HT39" s="281"/>
      <c r="HU39" s="281"/>
      <c r="HV39" s="281"/>
      <c r="HW39" s="281"/>
      <c r="HX39" s="281"/>
      <c r="HY39" s="281"/>
      <c r="HZ39" s="281"/>
      <c r="IA39" s="207"/>
      <c r="IB39" s="207"/>
      <c r="IC39" s="281"/>
      <c r="ID39" s="281"/>
      <c r="IE39" s="281"/>
      <c r="IF39" s="281"/>
      <c r="IG39" s="281"/>
      <c r="IH39" s="281"/>
      <c r="II39" s="281"/>
      <c r="IJ39" s="281"/>
      <c r="IK39" s="281"/>
      <c r="IL39" s="281"/>
      <c r="IM39" s="281"/>
      <c r="IN39" s="207"/>
      <c r="IO39" s="207"/>
      <c r="IP39" s="281"/>
      <c r="IQ39" s="281"/>
      <c r="IR39" s="281"/>
      <c r="IS39" s="281"/>
      <c r="IT39" s="281"/>
      <c r="IU39" s="281"/>
      <c r="IV39" s="281"/>
    </row>
    <row r="40" spans="1:256" x14ac:dyDescent="0.2">
      <c r="A40" s="218"/>
      <c r="B40" s="219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1"/>
      <c r="AD40" s="281"/>
      <c r="AE40" s="281"/>
      <c r="AF40" s="281"/>
      <c r="AG40" s="281"/>
      <c r="AH40" s="281"/>
      <c r="AI40" s="281"/>
      <c r="AJ40" s="281"/>
      <c r="AK40" s="281"/>
      <c r="AL40" s="281"/>
      <c r="AM40" s="281"/>
      <c r="AN40" s="207"/>
      <c r="AO40" s="207"/>
      <c r="AP40" s="281"/>
      <c r="AQ40" s="281"/>
      <c r="AR40" s="281"/>
      <c r="AS40" s="281"/>
      <c r="AT40" s="281"/>
      <c r="AU40" s="281"/>
      <c r="AV40" s="281"/>
      <c r="AW40" s="281"/>
      <c r="AX40" s="281"/>
      <c r="AY40" s="281"/>
      <c r="AZ40" s="281"/>
      <c r="BA40" s="207"/>
      <c r="BB40" s="207"/>
      <c r="BC40" s="281"/>
      <c r="BD40" s="281"/>
      <c r="BE40" s="281"/>
      <c r="BF40" s="281"/>
      <c r="BG40" s="281"/>
      <c r="BH40" s="281"/>
      <c r="BI40" s="281"/>
      <c r="BJ40" s="281"/>
      <c r="BK40" s="281"/>
      <c r="BL40" s="281"/>
      <c r="BM40" s="281"/>
      <c r="BN40" s="207"/>
      <c r="BO40" s="207"/>
      <c r="BP40" s="281"/>
      <c r="BQ40" s="281"/>
      <c r="BR40" s="281"/>
      <c r="BS40" s="281"/>
      <c r="BT40" s="281"/>
      <c r="BU40" s="281"/>
      <c r="BV40" s="281"/>
      <c r="BW40" s="281"/>
      <c r="BX40" s="281"/>
      <c r="BY40" s="281"/>
      <c r="BZ40" s="281"/>
      <c r="CA40" s="207"/>
      <c r="CB40" s="207"/>
      <c r="CC40" s="281"/>
      <c r="CD40" s="281"/>
      <c r="CE40" s="281"/>
      <c r="CF40" s="281"/>
      <c r="CG40" s="281"/>
      <c r="CH40" s="281"/>
      <c r="CI40" s="281"/>
      <c r="CJ40" s="281"/>
      <c r="CK40" s="281"/>
      <c r="CL40" s="281"/>
      <c r="CM40" s="281"/>
      <c r="CN40" s="207"/>
      <c r="CO40" s="207"/>
      <c r="CP40" s="281"/>
      <c r="CQ40" s="281"/>
      <c r="CR40" s="281"/>
      <c r="CS40" s="281"/>
      <c r="CT40" s="281"/>
      <c r="CU40" s="281"/>
      <c r="CV40" s="281"/>
      <c r="CW40" s="281"/>
      <c r="CX40" s="281"/>
      <c r="CY40" s="281"/>
      <c r="CZ40" s="281"/>
      <c r="DA40" s="207"/>
      <c r="DB40" s="207"/>
      <c r="DC40" s="281"/>
      <c r="DD40" s="281"/>
      <c r="DE40" s="281"/>
      <c r="DF40" s="281"/>
      <c r="DG40" s="281"/>
      <c r="DH40" s="281"/>
      <c r="DI40" s="281"/>
      <c r="DJ40" s="281"/>
      <c r="DK40" s="281"/>
      <c r="DL40" s="281"/>
      <c r="DM40" s="281"/>
      <c r="DN40" s="207"/>
      <c r="DO40" s="207"/>
      <c r="DP40" s="281"/>
      <c r="DQ40" s="281"/>
      <c r="DR40" s="281"/>
      <c r="DS40" s="281"/>
      <c r="DT40" s="281"/>
      <c r="DU40" s="281"/>
      <c r="DV40" s="281"/>
      <c r="DW40" s="281"/>
      <c r="DX40" s="281"/>
      <c r="DY40" s="281"/>
      <c r="DZ40" s="281"/>
      <c r="EA40" s="207"/>
      <c r="EB40" s="207"/>
      <c r="EC40" s="281"/>
      <c r="ED40" s="281"/>
      <c r="EE40" s="281"/>
      <c r="EF40" s="281"/>
      <c r="EG40" s="281"/>
      <c r="EH40" s="281"/>
      <c r="EI40" s="281"/>
      <c r="EJ40" s="281"/>
      <c r="EK40" s="281"/>
      <c r="EL40" s="281"/>
      <c r="EM40" s="281"/>
      <c r="EN40" s="207"/>
      <c r="EO40" s="207"/>
      <c r="EP40" s="281"/>
      <c r="EQ40" s="281"/>
      <c r="ER40" s="281"/>
      <c r="ES40" s="281"/>
      <c r="ET40" s="281"/>
      <c r="EU40" s="281"/>
      <c r="EV40" s="281"/>
      <c r="EW40" s="281"/>
      <c r="EX40" s="281"/>
      <c r="EY40" s="281"/>
      <c r="EZ40" s="281"/>
      <c r="FA40" s="207"/>
      <c r="FB40" s="207"/>
      <c r="FC40" s="281"/>
      <c r="FD40" s="281"/>
      <c r="FE40" s="281"/>
      <c r="FF40" s="281"/>
      <c r="FG40" s="281"/>
      <c r="FH40" s="281"/>
      <c r="FI40" s="281"/>
      <c r="FJ40" s="281"/>
      <c r="FK40" s="281"/>
      <c r="FL40" s="281"/>
      <c r="FM40" s="281"/>
      <c r="FN40" s="207"/>
      <c r="FO40" s="207"/>
      <c r="FP40" s="281"/>
      <c r="FQ40" s="281"/>
      <c r="FR40" s="281"/>
      <c r="FS40" s="281"/>
      <c r="FT40" s="281"/>
      <c r="FU40" s="281"/>
      <c r="FV40" s="281"/>
      <c r="FW40" s="281"/>
      <c r="FX40" s="281"/>
      <c r="FY40" s="281"/>
      <c r="FZ40" s="281"/>
      <c r="GA40" s="207"/>
      <c r="GB40" s="207"/>
      <c r="GC40" s="281"/>
      <c r="GD40" s="281"/>
      <c r="GE40" s="281"/>
      <c r="GF40" s="281"/>
      <c r="GG40" s="281"/>
      <c r="GH40" s="281"/>
      <c r="GI40" s="281"/>
      <c r="GJ40" s="281"/>
      <c r="GK40" s="281"/>
      <c r="GL40" s="281"/>
      <c r="GM40" s="281"/>
      <c r="GN40" s="207"/>
      <c r="GO40" s="207"/>
      <c r="GP40" s="281"/>
      <c r="GQ40" s="281"/>
      <c r="GR40" s="281"/>
      <c r="GS40" s="281"/>
      <c r="GT40" s="281"/>
      <c r="GU40" s="281"/>
      <c r="GV40" s="281"/>
      <c r="GW40" s="281"/>
      <c r="GX40" s="281"/>
      <c r="GY40" s="281"/>
      <c r="GZ40" s="281"/>
      <c r="HA40" s="207"/>
      <c r="HB40" s="207"/>
      <c r="HC40" s="281"/>
      <c r="HD40" s="281"/>
      <c r="HE40" s="281"/>
      <c r="HF40" s="281"/>
      <c r="HG40" s="281"/>
      <c r="HH40" s="281"/>
      <c r="HI40" s="281"/>
      <c r="HJ40" s="281"/>
      <c r="HK40" s="281"/>
      <c r="HL40" s="281"/>
      <c r="HM40" s="281"/>
      <c r="HN40" s="207"/>
      <c r="HO40" s="207"/>
      <c r="HP40" s="281"/>
      <c r="HQ40" s="281"/>
      <c r="HR40" s="281"/>
      <c r="HS40" s="281"/>
      <c r="HT40" s="281"/>
      <c r="HU40" s="281"/>
      <c r="HV40" s="281"/>
      <c r="HW40" s="281"/>
      <c r="HX40" s="281"/>
      <c r="HY40" s="281"/>
      <c r="HZ40" s="281"/>
      <c r="IA40" s="207"/>
      <c r="IB40" s="207"/>
      <c r="IC40" s="281"/>
      <c r="ID40" s="281"/>
      <c r="IE40" s="281"/>
      <c r="IF40" s="281"/>
      <c r="IG40" s="281"/>
      <c r="IH40" s="281"/>
      <c r="II40" s="281"/>
      <c r="IJ40" s="281"/>
      <c r="IK40" s="281"/>
      <c r="IL40" s="281"/>
      <c r="IM40" s="281"/>
      <c r="IN40" s="207"/>
      <c r="IO40" s="207"/>
      <c r="IP40" s="281"/>
      <c r="IQ40" s="281"/>
      <c r="IR40" s="281"/>
      <c r="IS40" s="281"/>
      <c r="IT40" s="281"/>
      <c r="IU40" s="281"/>
      <c r="IV40" s="281"/>
    </row>
    <row r="41" spans="1:256" x14ac:dyDescent="0.2">
      <c r="A41" s="218"/>
      <c r="B41" s="219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8"/>
      <c r="B60" s="219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8"/>
      <c r="B61" s="219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8"/>
      <c r="B62" s="219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8"/>
      <c r="B63" s="219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8"/>
      <c r="B64" s="219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8"/>
      <c r="B65" s="219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8"/>
      <c r="B66" s="219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8"/>
      <c r="B67" s="219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8"/>
      <c r="B68" s="219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8"/>
      <c r="B69" s="219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0"/>
      <c r="B70" s="221"/>
      <c r="C70" s="297"/>
      <c r="D70" s="297"/>
      <c r="E70" s="297"/>
      <c r="F70" s="297"/>
      <c r="G70" s="297"/>
      <c r="H70" s="297"/>
      <c r="I70" s="297"/>
      <c r="J70" s="297"/>
      <c r="K70" s="297"/>
      <c r="L70" s="297"/>
      <c r="M70" s="29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6" t="s">
        <v>848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5"/>
      <c r="D73" s="295"/>
      <c r="E73" s="295"/>
      <c r="F73" s="295"/>
      <c r="G73" s="295"/>
      <c r="H73" s="295"/>
      <c r="I73" s="295"/>
      <c r="J73" s="295"/>
      <c r="K73" s="295"/>
      <c r="L73" s="295"/>
      <c r="M73" s="295"/>
    </row>
    <row r="74" spans="1:13" x14ac:dyDescent="0.2">
      <c r="A74" s="211"/>
      <c r="B74" s="211"/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</row>
    <row r="75" spans="1:13" x14ac:dyDescent="0.2">
      <c r="A75" s="211"/>
      <c r="B75" s="211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</row>
    <row r="76" spans="1:13" x14ac:dyDescent="0.2">
      <c r="A76" s="211"/>
      <c r="B76" s="211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</row>
    <row r="77" spans="1:13" x14ac:dyDescent="0.2">
      <c r="A77" s="211"/>
      <c r="B77" s="211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</row>
    <row r="78" spans="1:13" x14ac:dyDescent="0.2">
      <c r="A78" s="211"/>
      <c r="B78" s="211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</row>
    <row r="79" spans="1:13" x14ac:dyDescent="0.2">
      <c r="A79" s="211"/>
      <c r="B79" s="211"/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</row>
    <row r="80" spans="1:13" x14ac:dyDescent="0.2">
      <c r="A80" s="211"/>
      <c r="B80" s="211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</row>
    <row r="81" spans="1:13" x14ac:dyDescent="0.2">
      <c r="A81" s="211"/>
      <c r="B81" s="211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</row>
    <row r="82" spans="1:13" x14ac:dyDescent="0.2">
      <c r="A82" s="211"/>
      <c r="B82" s="211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</row>
    <row r="83" spans="1:13" x14ac:dyDescent="0.2">
      <c r="A83" s="211"/>
      <c r="B83" s="211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</row>
    <row r="84" spans="1:13" x14ac:dyDescent="0.2">
      <c r="A84" s="211"/>
      <c r="B84" s="211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</row>
    <row r="85" spans="1:13" x14ac:dyDescent="0.2">
      <c r="A85" s="211"/>
      <c r="B85" s="211"/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</row>
    <row r="86" spans="1:13" x14ac:dyDescent="0.2">
      <c r="A86" s="211"/>
      <c r="B86" s="211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</row>
    <row r="87" spans="1:13" x14ac:dyDescent="0.2">
      <c r="A87" s="211"/>
      <c r="B87" s="211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</row>
    <row r="88" spans="1:13" x14ac:dyDescent="0.2">
      <c r="A88" s="211"/>
      <c r="B88" s="211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</row>
    <row r="89" spans="1:13" x14ac:dyDescent="0.2">
      <c r="A89" s="211"/>
      <c r="B89" s="211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</row>
    <row r="90" spans="1:13" x14ac:dyDescent="0.2">
      <c r="A90" s="211"/>
      <c r="B90" s="211"/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</row>
  </sheetData>
  <sheetProtection password="BB0A" sheet="1" objects="1" scenarios="1"/>
  <mergeCells count="223">
    <mergeCell ref="C90:M90"/>
    <mergeCell ref="C61:M61"/>
    <mergeCell ref="C53:M53"/>
    <mergeCell ref="C54:M54"/>
    <mergeCell ref="C55:M55"/>
    <mergeCell ref="C60:M60"/>
    <mergeCell ref="C58:M58"/>
    <mergeCell ref="C76:M76"/>
    <mergeCell ref="C66:M66"/>
    <mergeCell ref="C70:M70"/>
    <mergeCell ref="C84:M84"/>
    <mergeCell ref="C85:M85"/>
    <mergeCell ref="C86:M86"/>
    <mergeCell ref="C87:M87"/>
    <mergeCell ref="C88:M88"/>
    <mergeCell ref="C89:M89"/>
    <mergeCell ref="C59:M59"/>
    <mergeCell ref="C77:M77"/>
    <mergeCell ref="C78:M78"/>
    <mergeCell ref="C79:M79"/>
    <mergeCell ref="C80:M80"/>
    <mergeCell ref="C83:M83"/>
    <mergeCell ref="A72:E72"/>
    <mergeCell ref="C73:M73"/>
    <mergeCell ref="C74:M74"/>
    <mergeCell ref="C75:M75"/>
    <mergeCell ref="C51:M51"/>
    <mergeCell ref="C81:M81"/>
    <mergeCell ref="C82:M82"/>
    <mergeCell ref="C52:M52"/>
    <mergeCell ref="C67:M67"/>
    <mergeCell ref="C68:M68"/>
    <mergeCell ref="C69:M69"/>
    <mergeCell ref="C50:M50"/>
    <mergeCell ref="C63:M63"/>
    <mergeCell ref="C64:M64"/>
    <mergeCell ref="C65:M65"/>
    <mergeCell ref="C56:M56"/>
    <mergeCell ref="C57:M57"/>
    <mergeCell ref="C34:M34"/>
    <mergeCell ref="C35:M35"/>
    <mergeCell ref="C30:M30"/>
    <mergeCell ref="C31:M31"/>
    <mergeCell ref="C62:M62"/>
    <mergeCell ref="C39:M39"/>
    <mergeCell ref="C40:M40"/>
    <mergeCell ref="C47:M47"/>
    <mergeCell ref="C48:M48"/>
    <mergeCell ref="C49:M49"/>
    <mergeCell ref="C36:M36"/>
    <mergeCell ref="C38:M38"/>
    <mergeCell ref="C46:M46"/>
    <mergeCell ref="CC30:CM30"/>
    <mergeCell ref="BC30:BM30"/>
    <mergeCell ref="BP30:BZ30"/>
    <mergeCell ref="DC30:DM30"/>
    <mergeCell ref="DP30:DZ30"/>
    <mergeCell ref="CC32:CM32"/>
    <mergeCell ref="C32:M32"/>
    <mergeCell ref="DC29:DM29"/>
    <mergeCell ref="AP29:AZ29"/>
    <mergeCell ref="CC29:CM29"/>
    <mergeCell ref="C27:M27"/>
    <mergeCell ref="C28:M28"/>
    <mergeCell ref="AC29:AM29"/>
    <mergeCell ref="BC29:BM29"/>
    <mergeCell ref="BP29:BZ29"/>
    <mergeCell ref="C29:M29"/>
    <mergeCell ref="P32:Z32"/>
    <mergeCell ref="AC32:AM32"/>
    <mergeCell ref="AP32:AZ32"/>
    <mergeCell ref="P31:Z31"/>
    <mergeCell ref="AC31:AM31"/>
    <mergeCell ref="AP31:AZ31"/>
    <mergeCell ref="BP32:BZ32"/>
    <mergeCell ref="C18:M18"/>
    <mergeCell ref="C19:M19"/>
    <mergeCell ref="C20:M20"/>
    <mergeCell ref="C21:M21"/>
    <mergeCell ref="C22:M22"/>
    <mergeCell ref="C23:M23"/>
    <mergeCell ref="C24:M24"/>
    <mergeCell ref="C6:M6"/>
    <mergeCell ref="C7:M7"/>
    <mergeCell ref="C8:M8"/>
    <mergeCell ref="C14:M14"/>
    <mergeCell ref="C15:M15"/>
    <mergeCell ref="C16:M16"/>
    <mergeCell ref="C17:M17"/>
    <mergeCell ref="A1:I1"/>
    <mergeCell ref="C3:M3"/>
    <mergeCell ref="C4:M4"/>
    <mergeCell ref="F2:I2"/>
    <mergeCell ref="A2:E2"/>
    <mergeCell ref="C5:M5"/>
    <mergeCell ref="C13:M13"/>
    <mergeCell ref="C9:M9"/>
    <mergeCell ref="C10:M10"/>
    <mergeCell ref="C11:M11"/>
    <mergeCell ref="C12:M12"/>
    <mergeCell ref="C25:M25"/>
    <mergeCell ref="C26:M26"/>
    <mergeCell ref="IP29:IV29"/>
    <mergeCell ref="C42:M42"/>
    <mergeCell ref="P30:Z30"/>
    <mergeCell ref="AC30:AM30"/>
    <mergeCell ref="AP30:AZ30"/>
    <mergeCell ref="C41:M41"/>
    <mergeCell ref="C33:M33"/>
    <mergeCell ref="C37:M37"/>
    <mergeCell ref="DC32:DM32"/>
    <mergeCell ref="P29:Z29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GC30:GM30"/>
    <mergeCell ref="GP30:GZ30"/>
    <mergeCell ref="IC31:IM31"/>
    <mergeCell ref="FP29:FZ29"/>
    <mergeCell ref="GC29:GM29"/>
    <mergeCell ref="GP29:GZ29"/>
    <mergeCell ref="HP29:HZ29"/>
    <mergeCell ref="IC29:IM29"/>
    <mergeCell ref="HP30:HZ30"/>
    <mergeCell ref="HC30:HM30"/>
    <mergeCell ref="DC31:DM31"/>
    <mergeCell ref="FP32:FZ32"/>
    <mergeCell ref="GC32:GM32"/>
    <mergeCell ref="HC29:HM29"/>
    <mergeCell ref="GP32:GZ32"/>
    <mergeCell ref="EP30:EZ30"/>
    <mergeCell ref="DP32:DZ32"/>
    <mergeCell ref="EC32:EM32"/>
    <mergeCell ref="EP32:EZ32"/>
    <mergeCell ref="EC30:EM30"/>
    <mergeCell ref="FC32:FM32"/>
    <mergeCell ref="DP29:DZ29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P31:DZ31"/>
    <mergeCell ref="EC31:EM31"/>
    <mergeCell ref="EP31:EZ31"/>
    <mergeCell ref="HP31:HZ31"/>
    <mergeCell ref="GC31:GM31"/>
    <mergeCell ref="GP31:GZ31"/>
    <mergeCell ref="HC31:HM31"/>
    <mergeCell ref="GP38:GZ38"/>
    <mergeCell ref="HC38:HM38"/>
    <mergeCell ref="HC32:HM32"/>
    <mergeCell ref="FC30:FM30"/>
    <mergeCell ref="FP30:FZ30"/>
    <mergeCell ref="FC31:FM31"/>
    <mergeCell ref="FP31:FZ31"/>
    <mergeCell ref="DC38:DM38"/>
    <mergeCell ref="DP38:DZ38"/>
    <mergeCell ref="HP32:HZ32"/>
    <mergeCell ref="IC32:IM32"/>
    <mergeCell ref="IP32:IV32"/>
    <mergeCell ref="EP38:EZ38"/>
    <mergeCell ref="FC38:FM38"/>
    <mergeCell ref="FP38:FZ38"/>
    <mergeCell ref="GC38:GM38"/>
    <mergeCell ref="IC38:IM38"/>
    <mergeCell ref="IP38:IV38"/>
    <mergeCell ref="CP38:CZ38"/>
    <mergeCell ref="BC38:BM38"/>
    <mergeCell ref="P38:Z38"/>
    <mergeCell ref="AC38:AM38"/>
    <mergeCell ref="AP38:AZ38"/>
    <mergeCell ref="HP38:HZ38"/>
    <mergeCell ref="BP38:BZ38"/>
    <mergeCell ref="CC38:CM38"/>
    <mergeCell ref="P39:Z39"/>
    <mergeCell ref="AC39:AM39"/>
    <mergeCell ref="AP39:AZ39"/>
    <mergeCell ref="HP39:HZ39"/>
    <mergeCell ref="BP39:BZ39"/>
    <mergeCell ref="CC39:CM39"/>
    <mergeCell ref="CP39:CZ39"/>
    <mergeCell ref="HC39:HM39"/>
    <mergeCell ref="DC39:DM39"/>
    <mergeCell ref="DP39:DZ39"/>
    <mergeCell ref="EC38:EM38"/>
    <mergeCell ref="EC39:EM39"/>
    <mergeCell ref="GC39:GM39"/>
    <mergeCell ref="EP40:EZ40"/>
    <mergeCell ref="IP39:IV39"/>
    <mergeCell ref="EP39:EZ39"/>
    <mergeCell ref="FC39:FM39"/>
    <mergeCell ref="FP39:FZ39"/>
    <mergeCell ref="GP39:GZ39"/>
    <mergeCell ref="IC39:IM39"/>
    <mergeCell ref="DC40:DM40"/>
    <mergeCell ref="IP40:IV40"/>
    <mergeCell ref="C45:M45"/>
    <mergeCell ref="HP40:HZ40"/>
    <mergeCell ref="IC40:IM40"/>
    <mergeCell ref="FC40:FM40"/>
    <mergeCell ref="FP40:FZ40"/>
    <mergeCell ref="CC40:CM40"/>
    <mergeCell ref="CP40:CZ40"/>
    <mergeCell ref="GP40:GZ40"/>
    <mergeCell ref="GC40:GM40"/>
    <mergeCell ref="EC40:EM40"/>
    <mergeCell ref="C44:M44"/>
    <mergeCell ref="DP40:DZ40"/>
    <mergeCell ref="C43:M43"/>
    <mergeCell ref="BC40:BM40"/>
    <mergeCell ref="BP40:BZ40"/>
    <mergeCell ref="P40:Z40"/>
    <mergeCell ref="AC40:AM40"/>
    <mergeCell ref="HC40:H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2013-09-18T15:20:45Z</cp:lastPrinted>
  <dcterms:created xsi:type="dcterms:W3CDTF">1997-12-04T19:04:30Z</dcterms:created>
  <dcterms:modified xsi:type="dcterms:W3CDTF">2013-12-05T18:46:45Z</dcterms:modified>
</cp:coreProperties>
</file>