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48" i="1" l="1"/>
  <c r="H45" i="1"/>
  <c r="H22" i="1"/>
  <c r="C19" i="12" l="1"/>
  <c r="C20" i="12"/>
  <c r="B19" i="12"/>
  <c r="B20" i="12"/>
  <c r="C37" i="12"/>
  <c r="B37" i="12"/>
  <c r="C39" i="12"/>
  <c r="B39" i="12"/>
  <c r="C28" i="12"/>
  <c r="B21" i="12"/>
  <c r="C10" i="12"/>
  <c r="B10" i="12"/>
  <c r="B12" i="12"/>
  <c r="D11" i="13"/>
  <c r="D9" i="13"/>
  <c r="F12" i="1"/>
  <c r="H12" i="1" l="1"/>
  <c r="F22" i="1"/>
  <c r="H603" i="1"/>
  <c r="H590" i="1"/>
  <c r="F49" i="1"/>
  <c r="F24" i="1"/>
  <c r="J603" i="1"/>
  <c r="I603" i="1"/>
  <c r="G612" i="1"/>
  <c r="F612" i="1"/>
  <c r="G611" i="1"/>
  <c r="F611" i="1"/>
  <c r="G610" i="1"/>
  <c r="F610" i="1"/>
  <c r="I610" i="1"/>
  <c r="J594" i="1"/>
  <c r="I594" i="1"/>
  <c r="H594" i="1"/>
  <c r="J593" i="1"/>
  <c r="I593" i="1"/>
  <c r="J592" i="1"/>
  <c r="I591" i="1"/>
  <c r="H591" i="1"/>
  <c r="J590" i="1"/>
  <c r="I590" i="1"/>
  <c r="H582" i="1"/>
  <c r="H581" i="1"/>
  <c r="H578" i="1"/>
  <c r="G578" i="1"/>
  <c r="F582" i="1"/>
  <c r="F581" i="1"/>
  <c r="F578" i="1"/>
  <c r="K567" i="1"/>
  <c r="K566" i="1"/>
  <c r="I566" i="1"/>
  <c r="G566" i="1"/>
  <c r="F566" i="1"/>
  <c r="I541" i="1"/>
  <c r="H541" i="1"/>
  <c r="G541" i="1"/>
  <c r="F541" i="1"/>
  <c r="I540" i="1"/>
  <c r="H540" i="1"/>
  <c r="G540" i="1"/>
  <c r="H525" i="1"/>
  <c r="J522" i="1"/>
  <c r="H522" i="1"/>
  <c r="G522" i="1"/>
  <c r="F522" i="1"/>
  <c r="J521" i="1"/>
  <c r="I521" i="1"/>
  <c r="H521" i="1"/>
  <c r="G521" i="1"/>
  <c r="F521" i="1"/>
  <c r="J520" i="1"/>
  <c r="I520" i="1"/>
  <c r="H520" i="1"/>
  <c r="G520" i="1"/>
  <c r="F520" i="1"/>
  <c r="K520" i="1"/>
  <c r="H527" i="1"/>
  <c r="H526" i="1"/>
  <c r="G525" i="1"/>
  <c r="F525" i="1"/>
  <c r="H233" i="1"/>
  <c r="I522" i="1"/>
  <c r="F501" i="1"/>
  <c r="F500" i="1"/>
  <c r="F498" i="1"/>
  <c r="F496" i="1"/>
  <c r="F497" i="1" s="1"/>
  <c r="J424" i="1" l="1"/>
  <c r="J425" i="1"/>
  <c r="G399" i="1"/>
  <c r="H399" i="1"/>
  <c r="H395" i="1"/>
  <c r="I359" i="1" l="1"/>
  <c r="H359" i="1"/>
  <c r="I358" i="1"/>
  <c r="H358" i="1"/>
  <c r="I357" i="1"/>
  <c r="H357" i="1"/>
  <c r="K313" i="1"/>
  <c r="J313" i="1"/>
  <c r="J294" i="1"/>
  <c r="J275" i="1"/>
  <c r="I275" i="1"/>
  <c r="H280" i="1"/>
  <c r="J314" i="1"/>
  <c r="H314" i="1"/>
  <c r="G314" i="1"/>
  <c r="F314" i="1"/>
  <c r="J295" i="1"/>
  <c r="I295" i="1"/>
  <c r="H295" i="1"/>
  <c r="G295" i="1"/>
  <c r="F295" i="1"/>
  <c r="J276" i="1"/>
  <c r="I276" i="1"/>
  <c r="H276" i="1"/>
  <c r="G276" i="1"/>
  <c r="F276" i="1"/>
  <c r="F281" i="1"/>
  <c r="G275" i="1"/>
  <c r="H281" i="1"/>
  <c r="I319" i="1"/>
  <c r="H319" i="1"/>
  <c r="H318" i="1"/>
  <c r="K242" i="1"/>
  <c r="K224" i="1"/>
  <c r="K206" i="1"/>
  <c r="G239" i="1"/>
  <c r="G221" i="1"/>
  <c r="G203" i="1"/>
  <c r="H232" i="1"/>
  <c r="I196" i="1"/>
  <c r="I214" i="1"/>
  <c r="F207" i="1"/>
  <c r="H239" i="1"/>
  <c r="H219" i="1"/>
  <c r="K262" i="1"/>
  <c r="K259" i="1"/>
  <c r="K260" i="1"/>
  <c r="H226" i="1"/>
  <c r="H208" i="1"/>
  <c r="H243" i="1"/>
  <c r="H225" i="1"/>
  <c r="H207" i="1"/>
  <c r="G243" i="1"/>
  <c r="F243" i="1"/>
  <c r="I243" i="1"/>
  <c r="I225" i="1"/>
  <c r="G225" i="1"/>
  <c r="F225" i="1"/>
  <c r="I207" i="1"/>
  <c r="G207" i="1"/>
  <c r="H242" i="1"/>
  <c r="H224" i="1"/>
  <c r="H206" i="1"/>
  <c r="I242" i="1"/>
  <c r="I224" i="1"/>
  <c r="I206" i="1"/>
  <c r="J242" i="1"/>
  <c r="G242" i="1"/>
  <c r="F242" i="1"/>
  <c r="J224" i="1"/>
  <c r="G224" i="1"/>
  <c r="F224" i="1"/>
  <c r="J206" i="1"/>
  <c r="G206" i="1"/>
  <c r="F206" i="1"/>
  <c r="I240" i="1"/>
  <c r="H240" i="1"/>
  <c r="I222" i="1"/>
  <c r="K240" i="1"/>
  <c r="J240" i="1"/>
  <c r="G240" i="1"/>
  <c r="F240" i="1"/>
  <c r="K222" i="1"/>
  <c r="J222" i="1"/>
  <c r="H222" i="1"/>
  <c r="G222" i="1"/>
  <c r="F222" i="1"/>
  <c r="K204" i="1"/>
  <c r="J204" i="1"/>
  <c r="I204" i="1"/>
  <c r="H204" i="1"/>
  <c r="G204" i="1"/>
  <c r="F204" i="1"/>
  <c r="K239" i="1"/>
  <c r="I239" i="1"/>
  <c r="F239" i="1"/>
  <c r="K221" i="1"/>
  <c r="I221" i="1"/>
  <c r="H221" i="1"/>
  <c r="F221" i="1"/>
  <c r="K203" i="1"/>
  <c r="I203" i="1"/>
  <c r="H203" i="1"/>
  <c r="F203" i="1"/>
  <c r="H238" i="1"/>
  <c r="H220" i="1"/>
  <c r="H202" i="1"/>
  <c r="I238" i="1"/>
  <c r="J220" i="1"/>
  <c r="I220" i="1"/>
  <c r="J202" i="1"/>
  <c r="I202" i="1"/>
  <c r="G238" i="1"/>
  <c r="F238" i="1"/>
  <c r="G220" i="1"/>
  <c r="F220" i="1"/>
  <c r="G202" i="1"/>
  <c r="F202" i="1"/>
  <c r="H237" i="1"/>
  <c r="H201" i="1"/>
  <c r="G201" i="1"/>
  <c r="F201" i="1"/>
  <c r="K201" i="1"/>
  <c r="G237" i="1"/>
  <c r="G219" i="1"/>
  <c r="I237" i="1"/>
  <c r="F237" i="1"/>
  <c r="I219" i="1"/>
  <c r="F219" i="1"/>
  <c r="I201" i="1"/>
  <c r="K237" i="1"/>
  <c r="K219" i="1"/>
  <c r="G217" i="1"/>
  <c r="F217" i="1"/>
  <c r="I235" i="1"/>
  <c r="G235" i="1"/>
  <c r="F235" i="1"/>
  <c r="I199" i="1"/>
  <c r="G199" i="1"/>
  <c r="F199" i="1"/>
  <c r="K235" i="1"/>
  <c r="H235" i="1"/>
  <c r="K217" i="1"/>
  <c r="I217" i="1"/>
  <c r="H217" i="1"/>
  <c r="I234" i="1"/>
  <c r="G234" i="1"/>
  <c r="F234" i="1"/>
  <c r="H234" i="1"/>
  <c r="K215" i="1"/>
  <c r="K197" i="1"/>
  <c r="I197" i="1"/>
  <c r="G197" i="1"/>
  <c r="F197" i="1"/>
  <c r="G233" i="1"/>
  <c r="F233" i="1"/>
  <c r="G215" i="1"/>
  <c r="F215" i="1"/>
  <c r="J233" i="1"/>
  <c r="I233" i="1"/>
  <c r="I215" i="1"/>
  <c r="H215" i="1"/>
  <c r="J197" i="1"/>
  <c r="H197" i="1"/>
  <c r="K232" i="1"/>
  <c r="J232" i="1"/>
  <c r="I232" i="1"/>
  <c r="G232" i="1"/>
  <c r="F232" i="1"/>
  <c r="K214" i="1"/>
  <c r="J214" i="1"/>
  <c r="H214" i="1"/>
  <c r="G214" i="1"/>
  <c r="F214" i="1"/>
  <c r="K196" i="1"/>
  <c r="J196" i="1"/>
  <c r="H196" i="1"/>
  <c r="G196" i="1"/>
  <c r="F196" i="1"/>
  <c r="G178" i="1"/>
  <c r="G157" i="1"/>
  <c r="G131" i="1"/>
  <c r="G96" i="1"/>
  <c r="H154" i="1"/>
  <c r="H13" i="1"/>
  <c r="H151" i="1" l="1"/>
  <c r="H24" i="1"/>
  <c r="H153" i="1"/>
  <c r="F125" i="1"/>
  <c r="F117" i="1"/>
  <c r="F116" i="1"/>
  <c r="F109" i="1"/>
  <c r="F108" i="1"/>
  <c r="F100" i="1"/>
  <c r="F56" i="1"/>
  <c r="F48" i="1"/>
  <c r="F28" i="1"/>
  <c r="F14" i="1"/>
  <c r="F9" i="1"/>
  <c r="C37" i="10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L249" i="1"/>
  <c r="L331" i="1"/>
  <c r="C23" i="10" s="1"/>
  <c r="L253" i="1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D144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G618" i="1" s="1"/>
  <c r="I19" i="1"/>
  <c r="G619" i="1" s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J648" i="1" s="1"/>
  <c r="G649" i="1"/>
  <c r="G650" i="1"/>
  <c r="G651" i="1"/>
  <c r="H651" i="1"/>
  <c r="G652" i="1"/>
  <c r="H652" i="1"/>
  <c r="G653" i="1"/>
  <c r="H653" i="1"/>
  <c r="H654" i="1"/>
  <c r="F191" i="1"/>
  <c r="L255" i="1"/>
  <c r="L256" i="1" s="1"/>
  <c r="L270" i="1" s="1"/>
  <c r="G631" i="1" s="1"/>
  <c r="K256" i="1"/>
  <c r="K270" i="1" s="1"/>
  <c r="I256" i="1"/>
  <c r="I270" i="1" s="1"/>
  <c r="G256" i="1"/>
  <c r="G270" i="1" s="1"/>
  <c r="G163" i="2"/>
  <c r="G159" i="2"/>
  <c r="C18" i="2"/>
  <c r="F31" i="2"/>
  <c r="C26" i="10"/>
  <c r="L327" i="1"/>
  <c r="H659" i="1" s="1"/>
  <c r="H663" i="1" s="1"/>
  <c r="L350" i="1"/>
  <c r="I661" i="1"/>
  <c r="L289" i="1"/>
  <c r="F659" i="1" s="1"/>
  <c r="A31" i="12"/>
  <c r="C69" i="2"/>
  <c r="A40" i="12"/>
  <c r="D12" i="13"/>
  <c r="C12" i="13" s="1"/>
  <c r="G161" i="2"/>
  <c r="D61" i="2"/>
  <c r="D62" i="2" s="1"/>
  <c r="E49" i="2"/>
  <c r="D18" i="13"/>
  <c r="C18" i="13" s="1"/>
  <c r="D15" i="13"/>
  <c r="C15" i="13" s="1"/>
  <c r="D7" i="13"/>
  <c r="C7" i="13" s="1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127" i="2"/>
  <c r="C77" i="2"/>
  <c r="C80" i="2" s="1"/>
  <c r="D49" i="2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J616" i="1"/>
  <c r="E77" i="2"/>
  <c r="E80" i="2" s="1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G551" i="1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 s="1"/>
  <c r="F168" i="1"/>
  <c r="J139" i="1"/>
  <c r="F570" i="1"/>
  <c r="H256" i="1"/>
  <c r="H270" i="1" s="1"/>
  <c r="F663" i="1"/>
  <c r="F671" i="1" s="1"/>
  <c r="C4" i="10" s="1"/>
  <c r="I551" i="1"/>
  <c r="K548" i="1"/>
  <c r="K549" i="1"/>
  <c r="G22" i="2"/>
  <c r="K597" i="1"/>
  <c r="G646" i="1" s="1"/>
  <c r="J646" i="1" s="1"/>
  <c r="K544" i="1"/>
  <c r="J551" i="1"/>
  <c r="H551" i="1"/>
  <c r="C29" i="10"/>
  <c r="I660" i="1"/>
  <c r="H139" i="1"/>
  <c r="L400" i="1"/>
  <c r="C138" i="2" s="1"/>
  <c r="L392" i="1"/>
  <c r="A13" i="12"/>
  <c r="F22" i="13"/>
  <c r="H25" i="13"/>
  <c r="C25" i="13" s="1"/>
  <c r="J650" i="1"/>
  <c r="J639" i="1"/>
  <c r="J633" i="1"/>
  <c r="H570" i="1"/>
  <c r="L559" i="1"/>
  <c r="J544" i="1"/>
  <c r="H337" i="1"/>
  <c r="H351" i="1" s="1"/>
  <c r="F337" i="1"/>
  <c r="F351" i="1" s="1"/>
  <c r="G191" i="1"/>
  <c r="H191" i="1"/>
  <c r="E127" i="2"/>
  <c r="E144" i="2" s="1"/>
  <c r="F551" i="1"/>
  <c r="C35" i="10"/>
  <c r="L308" i="1"/>
  <c r="D5" i="13"/>
  <c r="C5" i="13" s="1"/>
  <c r="E16" i="13"/>
  <c r="C49" i="2"/>
  <c r="C50" i="2" s="1"/>
  <c r="J654" i="1"/>
  <c r="J644" i="1"/>
  <c r="L569" i="1"/>
  <c r="I570" i="1"/>
  <c r="I544" i="1"/>
  <c r="J635" i="1"/>
  <c r="G36" i="2"/>
  <c r="L564" i="1"/>
  <c r="G544" i="1"/>
  <c r="L544" i="1"/>
  <c r="H544" i="1"/>
  <c r="K550" i="1"/>
  <c r="C22" i="13"/>
  <c r="C137" i="2"/>
  <c r="C16" i="13"/>
  <c r="H33" i="13"/>
  <c r="F666" i="1"/>
  <c r="L336" i="1" l="1"/>
  <c r="C21" i="10"/>
  <c r="E33" i="13"/>
  <c r="D35" i="13" s="1"/>
  <c r="E50" i="2"/>
  <c r="K551" i="1"/>
  <c r="L337" i="1"/>
  <c r="L351" i="1" s="1"/>
  <c r="G632" i="1" s="1"/>
  <c r="J632" i="1" s="1"/>
  <c r="C24" i="10"/>
  <c r="G659" i="1"/>
  <c r="G663" i="1" s="1"/>
  <c r="G671" i="1" s="1"/>
  <c r="C5" i="10" s="1"/>
  <c r="G31" i="13"/>
  <c r="G33" i="13" s="1"/>
  <c r="I337" i="1"/>
  <c r="I351" i="1" s="1"/>
  <c r="J649" i="1"/>
  <c r="L406" i="1"/>
  <c r="C139" i="2" s="1"/>
  <c r="C140" i="2" s="1"/>
  <c r="C143" i="2" s="1"/>
  <c r="C144" i="2" s="1"/>
  <c r="L570" i="1"/>
  <c r="J631" i="1"/>
  <c r="I191" i="1"/>
  <c r="E90" i="2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H666" i="1"/>
  <c r="H671" i="1"/>
  <c r="C6" i="10" s="1"/>
  <c r="F31" i="13"/>
  <c r="F33" i="13" s="1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666" i="1"/>
  <c r="G42" i="2"/>
  <c r="J50" i="1"/>
  <c r="G16" i="2"/>
  <c r="J19" i="1"/>
  <c r="G620" i="1" s="1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G49" i="2"/>
  <c r="G50" i="2" s="1"/>
  <c r="H647" i="1"/>
  <c r="J647" i="1" s="1"/>
  <c r="C103" i="2"/>
  <c r="J651" i="1"/>
  <c r="J641" i="1"/>
  <c r="G570" i="1"/>
  <c r="I433" i="1"/>
  <c r="G433" i="1"/>
  <c r="E103" i="2"/>
  <c r="I662" i="1"/>
  <c r="C27" i="10"/>
  <c r="C28" i="10" s="1"/>
  <c r="G634" i="1"/>
  <c r="J634" i="1" s="1"/>
  <c r="L407" i="1" l="1"/>
  <c r="D31" i="13"/>
  <c r="C31" i="13" s="1"/>
  <c r="I659" i="1"/>
  <c r="G630" i="1"/>
  <c r="J630" i="1" s="1"/>
  <c r="I663" i="1"/>
  <c r="I671" i="1" s="1"/>
  <c r="C7" i="10" s="1"/>
  <c r="D33" i="13"/>
  <c r="D36" i="13" s="1"/>
  <c r="G192" i="1"/>
  <c r="G627" i="1" s="1"/>
  <c r="J627" i="1" s="1"/>
  <c r="G625" i="1"/>
  <c r="J625" i="1" s="1"/>
  <c r="J51" i="1"/>
  <c r="H620" i="1" s="1"/>
  <c r="J620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G636" i="1" l="1"/>
  <c r="J636" i="1" s="1"/>
  <c r="H645" i="1"/>
  <c r="J645" i="1" s="1"/>
  <c r="I666" i="1"/>
  <c r="H655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<sst xmlns="http://schemas.openxmlformats.org/spreadsheetml/2006/main" count="3947" uniqueCount="913">
  <si>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</si>
  <si>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</si>
  <si>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</si>
  <si>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</si>
  <si>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</si>
  <si>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</si>
  <si>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</si>
  <si>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</si>
  <si>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</si>
  <si>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</si>
  <si>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</si>
  <si>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</si>
  <si>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</si>
  <si>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</si>
  <si>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</si>
  <si>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</si>
  <si>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</si>
  <si>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</si>
  <si>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</si>
  <si>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</si>
  <si>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</si>
  <si>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</si>
  <si>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</si>
  <si>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</si>
  <si>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</si>
  <si>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</si>
  <si>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</si>
  <si>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</si>
  <si>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</si>
  <si>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</si>
  <si>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</si>
  <si>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</si>
  <si>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</si>
  <si>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</si>
  <si>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</si>
  <si>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</si>
  <si>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</si>
  <si>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</si>
  <si>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</si>
  <si>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</si>
  <si>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</si>
  <si>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</si>
  <si>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</si>
  <si>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</si>
  <si>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</si>
  <si>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</si>
  <si>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</si>
  <si>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</si>
  <si>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</si>
  <si>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</si>
  <si>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</si>
  <si>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</si>
  <si>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</si>
  <si>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</si>
  <si>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</si>
  <si>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</si>
  <si>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</si>
  <si>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</si>
  <si>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</si>
  <si>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</si>
  <si>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</si>
  <si>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</si>
  <si>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</si>
  <si>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</si>
  <si>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</si>
  <si>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</si>
  <si>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</si>
  <si>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</si>
  <si>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</si>
  <si>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</si>
  <si>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</si>
  <si>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</si>
  <si>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</si>
  <si>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</si>
  <si>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</si>
  <si>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</si>
  <si>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</si>
  <si>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</si>
  <si>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</si>
  <si>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</si>
  <si>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</si>
  <si>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</si>
  <si>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</si>
  <si>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</si>
  <si>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</si>
  <si>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</si>
  <si>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</si>
  <si>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</si>
  <si>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</si>
  <si>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</si>
  <si>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</si>
  <si>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</si>
  <si>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</si>
  <si>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</si>
  <si>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</si>
  <si>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</si>
  <si>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</si>
  <si>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</si>
  <si>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</si>
  <si>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</si>
  <si>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</si>
  <si>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</si>
  <si>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</si>
  <si>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</si>
  <si>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</si>
  <si>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</si>
  <si>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</si>
  <si>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</si>
  <si>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</si>
  <si>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</si>
  <si>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</si>
  <si>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</si>
  <si>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</si>
  <si>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</si>
  <si>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</si>
  <si>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</si>
  <si>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</si>
  <si>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</si>
  <si>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</si>
  <si>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</si>
  <si>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</si>
  <si>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</si>
  <si>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</si>
  <si>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</si>
  <si>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</si>
  <si>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</si>
  <si>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</si>
  <si>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</si>
  <si>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</si>
  <si>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</si>
  <si>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</si>
  <si>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</si>
  <si>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</si>
  <si>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</si>
  <si>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</si>
  <si>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</si>
  <si>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</si>
  <si>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</si>
  <si>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</si>
  <si>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</si>
  <si>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</si>
  <si>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</si>
  <si>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</si>
  <si>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</si>
  <si>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</si>
  <si>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</si>
  <si>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</si>
  <si>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</si>
  <si>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</si>
  <si>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</si>
  <si>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</si>
  <si>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</si>
  <si>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</si>
  <si>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</si>
  <si>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</si>
  <si>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</si>
  <si>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</si>
  <si>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</si>
  <si>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</si>
  <si>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</si>
  <si>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</si>
  <si>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</si>
  <si>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</si>
  <si>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</si>
  <si>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</si>
  <si>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</si>
  <si>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</si>
  <si>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</si>
  <si>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</si>
  <si>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</si>
  <si>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</si>
  <si>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</si>
  <si>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</si>
  <si>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</si>
  <si>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</si>
  <si>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</si>
  <si>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</si>
  <si>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</si>
  <si>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</si>
  <si>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</si>
  <si>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</si>
  <si>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</si>
  <si>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</si>
  <si>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</si>
  <si>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</si>
  <si>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</si>
  <si>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</si>
  <si>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</si>
  <si>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</si>
  <si>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</si>
  <si>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</si>
  <si>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</si>
  <si>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</si>
  <si>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</si>
  <si>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</si>
  <si>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</si>
  <si>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</si>
  <si>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</si>
  <si>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</si>
  <si>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</si>
  <si>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</si>
  <si>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</si>
  <si>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</si>
  <si>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</si>
  <si>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</si>
  <si>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</si>
  <si>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</si>
  <si>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</si>
  <si>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</si>
  <si>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</si>
  <si>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</si>
  <si>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</si>
  <si>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</si>
  <si>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</si>
  <si>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</si>
  <si>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</si>
  <si>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</si>
  <si>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</si>
  <si>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</si>
  <si>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</si>
  <si>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</si>
  <si>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</si>
  <si>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</si>
  <si>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</si>
  <si>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</si>
  <si>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</si>
  <si>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</si>
  <si>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</si>
  <si>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</si>
  <si>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</si>
  <si>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</si>
  <si>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</si>
  <si>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</si>
  <si>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</si>
  <si>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</si>
  <si>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</si>
  <si>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</si>
  <si>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</si>
  <si>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</si>
  <si>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</si>
  <si>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</si>
  <si>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</si>
  <si>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</si>
  <si>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</si>
  <si>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</si>
  <si>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</si>
  <si>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</si>
  <si>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</si>
  <si>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</si>
  <si>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</si>
  <si>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</si>
  <si>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</si>
  <si>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</si>
  <si>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</si>
  <si>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</si>
  <si>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</si>
  <si>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</si>
  <si>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</si>
  <si>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</si>
  <si>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</si>
  <si>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</si>
  <si>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</si>
  <si>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</si>
  <si>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</si>
  <si>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</si>
  <si>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</si>
  <si>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</si>
  <si>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</si>
  <si>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</si>
  <si>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</si>
  <si>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</si>
  <si>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</si>
  <si>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</si>
  <si>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</si>
  <si>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</si>
  <si>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</si>
  <si>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</si>
  <si>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</si>
  <si>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</si>
  <si>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</si>
  <si>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</si>
  <si>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</si>
  <si>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</si>
  <si>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</si>
  <si>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</si>
  <si>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</si>
  <si>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</si>
  <si>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</si>
  <si>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</si>
  <si>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</si>
  <si>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</si>
  <si>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</si>
  <si>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</si>
  <si>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</si>
  <si>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</si>
  <si>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</si>
  <si>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</si>
  <si>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</si>
  <si>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</si>
  <si>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</si>
  <si>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</si>
  <si>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</si>
  <si>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</si>
  <si>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</si>
  <si>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</si>
  <si>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</si>
  <si>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</si>
  <si>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</si>
  <si>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</si>
  <si>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</si>
  <si>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</si>
  <si>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</si>
  <si>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</si>
  <si>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</si>
  <si>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</si>
  <si>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</si>
  <si>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</si>
  <si>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</si>
  <si>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</si>
  <si>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</si>
  <si>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</si>
  <si>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</si>
  <si>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</si>
  <si>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</si>
  <si>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</si>
  <si>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</si>
  <si>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</si>
  <si>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</si>
  <si>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</si>
  <si>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</si>
  <si>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</si>
  <si>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</si>
  <si>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</si>
  <si>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</si>
  <si>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</si>
  <si>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</si>
  <si>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</si>
  <si>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</si>
  <si>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</si>
  <si>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</si>
  <si>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</si>
  <si>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</si>
  <si>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</si>
  <si>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</si>
  <si>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</si>
  <si>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</si>
  <si>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</si>
  <si>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</si>
  <si>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</si>
  <si>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</si>
  <si>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</si>
  <si>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</si>
  <si>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</si>
  <si>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</si>
  <si>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</si>
  <si>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</si>
  <si>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</si>
  <si>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</si>
  <si>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</si>
  <si>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</si>
  <si>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</si>
  <si>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</si>
  <si>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</si>
  <si>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</si>
  <si>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</si>
  <si>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</si>
  <si>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</si>
  <si>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</si>
  <si>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</si>
  <si>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</si>
  <si>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</si>
  <si>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</si>
  <si>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</si>
  <si>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</si>
  <si>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</si>
  <si>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</si>
  <si>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</si>
  <si>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</si>
  <si>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</si>
  <si>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</si>
  <si>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</si>
  <si>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</si>
  <si>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</si>
  <si>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</si>
  <si>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</si>
  <si>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</si>
  <si>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</si>
  <si>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</si>
  <si>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</si>
  <si>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</si>
  <si>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</si>
  <si>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</si>
  <si>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</si>
  <si>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</si>
  <si>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</si>
  <si>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</si>
  <si>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</si>
  <si>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</si>
  <si>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</si>
  <si>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</si>
  <si>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</si>
  <si>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</si>
  <si>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</si>
  <si>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</si>
  <si>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</si>
  <si>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</si>
  <si>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</si>
  <si>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</si>
  <si>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</si>
  <si>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</si>
  <si>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</si>
  <si>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</si>
  <si>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</si>
  <si>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</si>
  <si>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</si>
  <si>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</si>
  <si>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</si>
  <si>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</si>
  <si>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</si>
  <si>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</si>
  <si>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</si>
  <si>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</si>
  <si>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</si>
  <si>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</si>
  <si>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</si>
  <si>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</si>
  <si>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</si>
  <si>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</si>
  <si>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</si>
  <si>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</si>
  <si>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</si>
  <si>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</si>
  <si>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</si>
  <si>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</si>
  <si>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</si>
  <si>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</si>
  <si>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</si>
  <si>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</si>
  <si>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</si>
  <si>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</si>
  <si>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</si>
  <si>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</si>
  <si>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</si>
  <si>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</si>
  <si>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</si>
  <si>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</si>
  <si>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</si>
  <si>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</si>
  <si>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</si>
  <si>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</si>
  <si>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</si>
  <si>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</si>
  <si>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</si>
  <si>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</si>
  <si>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</si>
  <si>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</si>
  <si>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</si>
  <si>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</si>
  <si>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</si>
  <si>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</si>
  <si>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</si>
  <si>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</si>
  <si>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</si>
  <si>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</si>
  <si>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</si>
  <si>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</si>
  <si>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</si>
  <si>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</si>
  <si>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</si>
  <si>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</si>
  <si>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</si>
  <si>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</si>
  <si>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</si>
  <si>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</si>
  <si>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</si>
  <si>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</si>
  <si>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</si>
  <si>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</si>
  <si>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</si>
  <si>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</si>
  <si>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</si>
  <si>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</si>
  <si>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</si>
  <si>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</si>
  <si>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</si>
  <si>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</si>
  <si>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</si>
  <si>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</si>
  <si>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</si>
  <si>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</si>
  <si>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</si>
  <si>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</si>
  <si>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</si>
  <si>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</si>
  <si>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</si>
  <si>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</si>
  <si>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</si>
  <si>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</si>
  <si>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</si>
  <si>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</si>
  <si>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</si>
  <si>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</si>
  <si>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</si>
  <si>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</si>
  <si>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</si>
  <si>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</si>
  <si>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</si>
  <si>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</si>
  <si>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</si>
  <si>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</si>
  <si>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</si>
  <si>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</si>
  <si>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</si>
  <si>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</si>
  <si>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</si>
  <si>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</si>
  <si>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</si>
  <si>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</si>
  <si>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</si>
  <si>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</si>
  <si>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</si>
  <si>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</si>
  <si>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</si>
  <si>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</si>
  <si>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</si>
  <si>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</si>
  <si>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</si>
  <si>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</si>
  <si>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</si>
  <si>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</si>
  <si>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</si>
  <si>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</si>
  <si>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</si>
  <si>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</si>
  <si>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</si>
  <si>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</si>
  <si>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</si>
  <si>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</si>
  <si>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</si>
  <si>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</si>
  <si>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</si>
  <si>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</si>
  <si>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</si>
  <si>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</si>
  <si>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</si>
  <si>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</si>
  <si>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</si>
  <si>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</si>
  <si>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</si>
  <si>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</si>
  <si>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</si>
  <si>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</si>
  <si>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</si>
  <si>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</si>
  <si>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</si>
  <si>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</si>
  <si>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</si>
  <si>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</si>
  <si>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</si>
  <si>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</si>
  <si>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</si>
  <si>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</si>
  <si>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</si>
  <si>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</si>
  <si>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</si>
  <si>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</si>
  <si>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</si>
  <si>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</si>
  <si>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</si>
  <si>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</si>
  <si>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</si>
  <si>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</si>
  <si>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</si>
  <si>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</si>
  <si>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</si>
  <si>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</si>
  <si>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</si>
  <si>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</si>
  <si>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</si>
  <si>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</si>
  <si>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</si>
  <si>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</si>
  <si>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</si>
  <si>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</si>
  <si>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</si>
  <si>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</si>
  <si>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</si>
  <si>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</si>
  <si>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</si>
  <si>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</si>
  <si>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</si>
  <si>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</si>
  <si>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</si>
  <si>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</si>
  <si>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</si>
  <si>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</si>
  <si>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</si>
  <si>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</si>
  <si>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</si>
  <si>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</si>
  <si>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</si>
  <si>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</si>
  <si>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</si>
  <si>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</si>
  <si>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</si>
  <si>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</si>
  <si>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</si>
  <si>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</si>
  <si>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</si>
  <si>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</si>
  <si>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</si>
  <si>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</si>
  <si>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</si>
  <si>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</si>
  <si>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</si>
  <si>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</si>
  <si>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</si>
  <si>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</si>
  <si>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</si>
  <si>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</si>
  <si>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</si>
  <si>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</si>
  <si>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</si>
  <si>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</si>
  <si>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</si>
  <si>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</si>
  <si>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</si>
  <si>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</si>
  <si>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</si>
  <si>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</si>
  <si>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</si>
  <si>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</si>
  <si>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</si>
  <si>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</si>
  <si>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</si>
  <si>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</si>
  <si>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</si>
  <si>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</si>
  <si>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</si>
  <si>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</si>
  <si>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</si>
  <si>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</si>
  <si>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</si>
  <si>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</si>
  <si>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</si>
  <si>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</si>
  <si>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</si>
  <si>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</si>
  <si>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</si>
  <si>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</si>
  <si>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</si>
  <si>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</si>
  <si>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</si>
  <si>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</si>
  <si>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</si>
  <si>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</si>
  <si>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</si>
  <si>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</si>
  <si>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</si>
  <si>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</si>
  <si>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</si>
  <si>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</si>
  <si>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</si>
  <si>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</si>
  <si>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</si>
  <si>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</si>
  <si>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</si>
  <si>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</si>
  <si>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</si>
  <si>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</si>
  <si>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</si>
  <si>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</si>
  <si>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</si>
  <si>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</si>
  <si>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</si>
  <si>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</si>
  <si>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</si>
  <si>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</si>
  <si>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</si>
  <si>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</si>
  <si>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</si>
  <si>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</si>
  <si>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</si>
  <si>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</si>
  <si>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</si>
  <si>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</si>
  <si>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</si>
  <si>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</si>
  <si>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</si>
  <si>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</si>
  <si>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</si>
  <si>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</si>
  <si>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</si>
  <si>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</si>
  <si>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</si>
  <si>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</si>
  <si>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</si>
  <si>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</si>
  <si>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</si>
  <si>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</si>
  <si>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</si>
  <si>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</si>
  <si>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</si>
  <si>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</si>
  <si>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</si>
  <si>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</si>
  <si>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</si>
  <si>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</si>
  <si>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</si>
  <si>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</si>
  <si>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</si>
  <si>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</si>
  <si>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</si>
  <si>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</si>
  <si>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</si>
  <si>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</si>
  <si>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</si>
  <si>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</si>
  <si>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</si>
  <si>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</si>
  <si>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</si>
  <si>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</si>
  <si>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</si>
  <si>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</si>
  <si>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</si>
  <si>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</si>
  <si>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</si>
  <si>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</si>
  <si>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</si>
  <si>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</si>
  <si>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</si>
  <si>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</si>
  <si>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</si>
  <si>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</si>
  <si>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</si>
  <si>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</si>
  <si>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</si>
  <si>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</si>
  <si>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</si>
  <si>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</si>
  <si>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</si>
  <si>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</si>
  <si>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</si>
  <si>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</si>
  <si>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</si>
  <si>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</si>
  <si>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</si>
  <si>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</si>
  <si>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</si>
  <si>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</si>
  <si>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</si>
  <si>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</si>
  <si>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</si>
  <si>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</si>
  <si>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</si>
  <si>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</si>
  <si>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</si>
  <si>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</si>
  <si>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</si>
  <si>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</si>
  <si>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</si>
  <si>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</si>
  <si>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</si>
  <si>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</si>
  <si>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</si>
  <si>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</si>
  <si>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</si>
  <si>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</si>
  <si>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</si>
  <si>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</si>
  <si>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</si>
  <si>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</si>
  <si>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</si>
  <si>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</si>
  <si>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</si>
  <si>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</si>
  <si>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</si>
  <si>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</si>
  <si>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</si>
  <si>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</si>
  <si>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</si>
  <si>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</si>
  <si>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</si>
  <si>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</si>
  <si>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</si>
  <si>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</si>
  <si>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</si>
  <si>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</si>
  <si>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</si>
  <si>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</si>
  <si>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</si>
  <si>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</si>
  <si>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</si>
  <si>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</si>
  <si>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</si>
  <si>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</si>
  <si>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</si>
  <si>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</si>
  <si>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</si>
  <si>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</si>
  <si>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</si>
  <si>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</si>
  <si>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</si>
  <si>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</si>
  <si>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</si>
  <si>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</si>
  <si>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</si>
  <si>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</si>
  <si>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</si>
  <si>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</si>
  <si>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</si>
  <si>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</si>
  <si>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</si>
  <si>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</si>
  <si>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</si>
  <si>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</si>
  <si>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</si>
  <si>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</si>
  <si>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</si>
  <si>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</si>
  <si>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</si>
  <si>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</si>
  <si>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</si>
  <si>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</si>
  <si>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</si>
  <si>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</si>
  <si>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</si>
  <si>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</si>
  <si>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</si>
  <si>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</si>
  <si>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</si>
  <si>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</si>
  <si>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</si>
  <si>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</si>
  <si>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</si>
  <si>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</si>
  <si>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</si>
  <si>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</si>
  <si>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</si>
  <si>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</si>
  <si>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</si>
  <si>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</si>
  <si>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</si>
  <si>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</si>
  <si>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</si>
  <si>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</si>
  <si>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</si>
  <si>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</si>
  <si>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</si>
  <si>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</si>
  <si>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</si>
  <si>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</si>
  <si>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</si>
  <si>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</si>
  <si>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</si>
  <si>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</si>
  <si>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</si>
  <si>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</si>
  <si>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</si>
  <si>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</si>
  <si>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</si>
  <si>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</si>
  <si>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</si>
  <si>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</si>
  <si>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</si>
  <si>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</si>
  <si>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</si>
  <si>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</si>
  <si>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</si>
  <si>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</si>
  <si>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</si>
  <si>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</si>
  <si>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</si>
  <si>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</si>
  <si>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</si>
  <si>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</si>
  <si>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</si>
  <si>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</si>
  <si>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</si>
  <si>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</si>
  <si>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</si>
  <si>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</si>
  <si>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</si>
  <si>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</si>
  <si>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</si>
  <si>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</si>
  <si>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</si>
  <si>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</si>
  <si>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</si>
  <si>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</si>
  <si>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</si>
  <si>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</si>
  <si>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</si>
  <si>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</si>
  <si>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</si>
  <si>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</si>
  <si>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</si>
  <si>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</si>
  <si>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</si>
  <si>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</si>
  <si>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</si>
  <si>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</si>
  <si>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</si>
  <si>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</si>
  <si>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</si>
  <si>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</si>
  <si>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</si>
  <si>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</si>
  <si>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</si>
  <si>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Lincoln-Woodstock Coopeartive School District</t>
  </si>
  <si>
    <t>$7124.00  Fresh Fruits &amp; Vegetable Grant from NH Bureau of Nutrition</t>
  </si>
  <si>
    <t>06/10</t>
  </si>
  <si>
    <t>06/15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</si>
</sst>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305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907834.91+4498.12</f>
        <v>912333.03</v>
      </c>
      <c r="G9" s="18"/>
      <c r="H9" s="18"/>
      <c r="I9" s="18"/>
      <c r="J9" s="67">
        <f>SUM(I438)</f>
        <v>176998.59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439715.47-89802</f>
        <v>349913.47</v>
      </c>
      <c r="G12" s="18"/>
      <c r="H12" s="18">
        <f>21995.45+575.02+298.31+1276+12383.95+2450+373.53</f>
        <v>39352.26</v>
      </c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16128.54</v>
      </c>
      <c r="H13" s="18">
        <f>3663.95+51528.61+53674.55+9310.64</f>
        <v>118177.75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18802.69</f>
        <v>18802.689999999999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1281049.19</v>
      </c>
      <c r="G19" s="41">
        <f>SUM(G9:G18)</f>
        <v>16128.54</v>
      </c>
      <c r="H19" s="41">
        <f>SUM(H9:H18)</f>
        <v>157530.01</v>
      </c>
      <c r="I19" s="41">
        <f>SUM(I9:I18)</f>
        <v>0</v>
      </c>
      <c r="J19" s="41">
        <f>SUM(J9:J18)</f>
        <v>176998.59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f>214568.83+85360.73</f>
        <v>299929.56</v>
      </c>
      <c r="G22" s="18">
        <v>2684.87</v>
      </c>
      <c r="H22" s="18">
        <f>5909.1+2234.78+29231.87+19896.74+38280.54+15074.08+21995.45+575.02+8450+9583.95+37644.8-64543.57+56850.63</f>
        <v>181183.39</v>
      </c>
      <c r="I22" s="18">
        <v>4500</v>
      </c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1998.12+57642.81</f>
        <v>59640.93</v>
      </c>
      <c r="G24" s="18">
        <v>4400</v>
      </c>
      <c r="H24" s="18">
        <f>319.93</f>
        <v>319.93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208025.83</f>
        <v>208025.83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567596.31999999995</v>
      </c>
      <c r="G32" s="41">
        <f>SUM(G22:G31)</f>
        <v>7084.87</v>
      </c>
      <c r="H32" s="41">
        <f>SUM(H22:H31)</f>
        <v>181503.32</v>
      </c>
      <c r="I32" s="41">
        <f>SUM(I22:I31)</f>
        <v>4500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9043.67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161820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>
        <f>0.1+399+1176+28968.24-56850.63</f>
        <v>-26307.289999999997</v>
      </c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176998.59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f>23953.43</f>
        <v>23953.43</v>
      </c>
      <c r="G48" s="18"/>
      <c r="H48" s="18">
        <f>-1754.04+2400-399+1158.95+100+2800-2345.46+373.53</f>
        <v>2333.9799999999996</v>
      </c>
      <c r="I48" s="18">
        <v>-4500</v>
      </c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358083.88+80575.55+97026.75-8006.74</f>
        <v>527679.43999999994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713452.86999999988</v>
      </c>
      <c r="G50" s="41">
        <f>SUM(G35:G49)</f>
        <v>9043.67</v>
      </c>
      <c r="H50" s="41">
        <f>SUM(H35:H49)</f>
        <v>-23973.309999999998</v>
      </c>
      <c r="I50" s="41">
        <f>SUM(I35:I49)</f>
        <v>-4500</v>
      </c>
      <c r="J50" s="41">
        <f>SUM(J35:J49)</f>
        <v>176998.59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1281049.19</v>
      </c>
      <c r="G51" s="41">
        <f>G50+G32</f>
        <v>16128.54</v>
      </c>
      <c r="H51" s="41">
        <f>H50+H32</f>
        <v>157530.01</v>
      </c>
      <c r="I51" s="41">
        <f>I50+I32</f>
        <v>0</v>
      </c>
      <c r="J51" s="41">
        <f>J50+J32</f>
        <v>176998.59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f>3612594</f>
        <v>3612594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3612594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215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215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251.42</v>
      </c>
      <c r="G95" s="18"/>
      <c r="H95" s="18"/>
      <c r="I95" s="18"/>
      <c r="J95" s="18">
        <v>43.76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9215.2+28631.5+11049.65+5810.5+6815.1+2689.09</f>
        <v>64211.039999999994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850.75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f>620</f>
        <v>620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>
        <v>475</v>
      </c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f>306.42</f>
        <v>306.42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26028.73+3347.01</f>
        <v>29375.739999999998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31879.329999999998</v>
      </c>
      <c r="G110" s="41">
        <f>SUM(G95:G109)</f>
        <v>64211.039999999994</v>
      </c>
      <c r="H110" s="41">
        <f>SUM(H95:H109)</f>
        <v>0</v>
      </c>
      <c r="I110" s="41">
        <f>SUM(I95:I109)</f>
        <v>0</v>
      </c>
      <c r="J110" s="41">
        <f>SUM(J95:J109)</f>
        <v>43.76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3644688.33</v>
      </c>
      <c r="G111" s="41">
        <f>G59+G110</f>
        <v>64211.039999999994</v>
      </c>
      <c r="H111" s="41">
        <f>H59+H78+H93+H110</f>
        <v>0</v>
      </c>
      <c r="I111" s="41">
        <f>I59+I110</f>
        <v>0</v>
      </c>
      <c r="J111" s="41">
        <f>J59+J110</f>
        <v>43.76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f>248418+106465</f>
        <v>354883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f>2460792</f>
        <v>2460792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408.32</v>
      </c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2816083.32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f>110949.97</f>
        <v>110949.97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4715.1099999999997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f>1526.47</f>
        <v>1526.47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115665.08</v>
      </c>
      <c r="G135" s="41">
        <f>SUM(G122:G134)</f>
        <v>1526.47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2931748.4</v>
      </c>
      <c r="G139" s="41">
        <f>G120+SUM(G135:G136)</f>
        <v>1526.47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>
        <v>7124</v>
      </c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7124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>
        <f>1089.71+90560.04</f>
        <v>91649.75</v>
      </c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88317.05</f>
        <v>88317.05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5844.5+5332.35+888.54+9310.64</f>
        <v>21376.03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f>3859.38+5707.02+78439.66+6191.3</f>
        <v>94197.36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96631.87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96631.87</v>
      </c>
      <c r="G161" s="41">
        <f>SUM(G149:G160)</f>
        <v>94197.36</v>
      </c>
      <c r="H161" s="41">
        <f>SUM(H149:H160)</f>
        <v>201342.83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64437.3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161069.16999999998</v>
      </c>
      <c r="G168" s="41">
        <f>G146+G161+SUM(G162:G167)</f>
        <v>94197.36</v>
      </c>
      <c r="H168" s="41">
        <f>H146+H161+SUM(H162:H167)</f>
        <v>208466.83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f>20380.46</f>
        <v>20380.46</v>
      </c>
      <c r="H178" s="18"/>
      <c r="I178" s="18"/>
      <c r="J178" s="18">
        <v>100000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>
        <v>37644.800000000003</v>
      </c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20380.46</v>
      </c>
      <c r="H182" s="41">
        <f>SUM(H178:H181)</f>
        <v>0</v>
      </c>
      <c r="I182" s="41">
        <f>SUM(I178:I181)</f>
        <v>37644.800000000003</v>
      </c>
      <c r="J182" s="41">
        <f>SUM(J178:J181)</f>
        <v>100000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20380.46</v>
      </c>
      <c r="H191" s="41">
        <f>+H182+SUM(H187:H190)</f>
        <v>0</v>
      </c>
      <c r="I191" s="41">
        <f>I176+I182+SUM(I187:I190)</f>
        <v>37644.800000000003</v>
      </c>
      <c r="J191" s="41">
        <f>J182</f>
        <v>100000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6737505.9000000004</v>
      </c>
      <c r="G192" s="47">
        <f>G111+G139+G168+G191</f>
        <v>180315.33</v>
      </c>
      <c r="H192" s="47">
        <f>H111+H139+H168+H191</f>
        <v>208466.83</v>
      </c>
      <c r="I192" s="47">
        <f>I111+I139+I168+I191</f>
        <v>37644.800000000003</v>
      </c>
      <c r="J192" s="47">
        <f>J111+J139+J191</f>
        <v>100043.76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748371.82+21897.95</f>
        <v>770269.7699999999</v>
      </c>
      <c r="G196" s="18">
        <f>174209.44+4915.59+544+463.84+54749.95+66+84491.46+3878.59+864.84</f>
        <v>324183.71000000008</v>
      </c>
      <c r="H196" s="18">
        <f>5795.51+4201.57+4631.68+6.75+276.68</f>
        <v>14912.19</v>
      </c>
      <c r="I196" s="18">
        <f>11721.85+5760.11+7260.72+942.64+3975.44+806.04</f>
        <v>30466.799999999999</v>
      </c>
      <c r="J196" s="18">
        <f>-5.5+939.54+3980+79.73</f>
        <v>4993.7699999999995</v>
      </c>
      <c r="K196" s="18">
        <f>1379.25</f>
        <v>1379.25</v>
      </c>
      <c r="L196" s="19">
        <f>SUM(F196:K196)</f>
        <v>1146205.49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163404.85+5604.38+1361.2+2000</f>
        <v>172370.43000000002</v>
      </c>
      <c r="G197" s="18">
        <f>53610+1412.5+145.44+12050.28+1705.42+14116.35+844.62+188.33+98.55+146.89+7.04+1.57+136.31+52.8+158.2</f>
        <v>84674.3</v>
      </c>
      <c r="H197" s="18">
        <f>1358.63+3272.52+59.54+36949.09+54223.36+79438.6+64.68</f>
        <v>175366.41999999998</v>
      </c>
      <c r="I197" s="18">
        <f>279.14+92.75+610.94</f>
        <v>982.83</v>
      </c>
      <c r="J197" s="18">
        <f>122.35</f>
        <v>122.35</v>
      </c>
      <c r="K197" s="18">
        <f>414.95+285</f>
        <v>699.95</v>
      </c>
      <c r="L197" s="19">
        <f>SUM(F197:K197)</f>
        <v>434216.28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814+12424.5</f>
        <v>13238.5</v>
      </c>
      <c r="G199" s="18">
        <f>57.5+91.98+930.28+148.61+931.55</f>
        <v>2159.92</v>
      </c>
      <c r="H199" s="18"/>
      <c r="I199" s="18">
        <f>178.88</f>
        <v>178.88</v>
      </c>
      <c r="J199" s="18"/>
      <c r="K199" s="18"/>
      <c r="L199" s="19">
        <f>SUM(F199:K199)</f>
        <v>15577.3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45034+15188.5+18071.06+537.5</f>
        <v>78831.06</v>
      </c>
      <c r="G201" s="18">
        <f>17010+361.71+38.4+3007.66+5088.95+232.78+51.9+5159.05+148.08+17.6+1082.95+1716.3+78.51+17.51+0.64+12000+344.6+17.6+1200.65+1590.26+93.41+20.83+41.12+47.3</f>
        <v>49367.810000000019</v>
      </c>
      <c r="H201" s="18">
        <f>1025+439.37+2147.12+50.11+28119.42+38627.06+263.01+112.5+36260+1260+176.41</f>
        <v>108479.99999999999</v>
      </c>
      <c r="I201" s="18">
        <f>111.53+94.64+256.92+178.1</f>
        <v>641.19000000000005</v>
      </c>
      <c r="J201" s="18"/>
      <c r="K201" s="18">
        <f>65+1000</f>
        <v>1065</v>
      </c>
      <c r="L201" s="19">
        <f t="shared" ref="L201:L207" si="0">SUM(F201:K201)</f>
        <v>238385.06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20894.61</f>
        <v>20894.61</v>
      </c>
      <c r="G202" s="18">
        <f>2872+6003+4410.06+126.56+15.36+1521.78+2361.06+108+24.08</f>
        <v>17441.900000000005</v>
      </c>
      <c r="H202" s="18">
        <f>1109.91+50+12653.49</f>
        <v>13813.4</v>
      </c>
      <c r="I202" s="18">
        <f>104.04+216.13+2922.41+375.83+1054.61+341.94+286.59</f>
        <v>5301.5499999999993</v>
      </c>
      <c r="J202" s="18">
        <f>185.53</f>
        <v>185.53</v>
      </c>
      <c r="K202" s="18"/>
      <c r="L202" s="19">
        <f t="shared" si="0"/>
        <v>57636.990000000005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2255+350.55+1476+459.2+113455.7</f>
        <v>117996.45</v>
      </c>
      <c r="G203" s="18">
        <f>172.53+22.5+30.78+112.92+34.24+9.02+23789.87+727.58+425.82+8168.69+4758.47+2977+586.44+130.76+1364.14+40</f>
        <v>43350.760000000009</v>
      </c>
      <c r="H203" s="18">
        <f>1230+23.17+225.85+408.05+28.7+3931.39+3485+4678.13+3654.74+462.7+4750+898.45+373.33+1403.14+560.66+1951.1</f>
        <v>28064.41</v>
      </c>
      <c r="I203" s="18">
        <f>163.59+23.64+355.17+1188.61+612.3+250.42+41.95</f>
        <v>2635.68</v>
      </c>
      <c r="J203" s="18"/>
      <c r="K203" s="18">
        <f>1319.58+112.75+918.58+101.5</f>
        <v>2452.41</v>
      </c>
      <c r="L203" s="19">
        <f t="shared" si="0"/>
        <v>194499.71000000002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89610.53</f>
        <v>89610.53</v>
      </c>
      <c r="G204" s="18">
        <f>18900+650.93+392.79+6498.77+2108.36+7418.83+463.19+103.28+294.15</f>
        <v>36830.300000000003</v>
      </c>
      <c r="H204" s="18">
        <f>84+2535.06+614.92+296.84+1412.69+1051.45</f>
        <v>5994.96</v>
      </c>
      <c r="I204" s="18">
        <f>821.73</f>
        <v>821.73</v>
      </c>
      <c r="J204" s="18">
        <f>2740.22</f>
        <v>2740.22</v>
      </c>
      <c r="K204" s="18">
        <f>1536.18+303.91</f>
        <v>1840.0900000000001</v>
      </c>
      <c r="L204" s="19">
        <f t="shared" si="0"/>
        <v>137837.83000000002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39192.83</f>
        <v>39192.83</v>
      </c>
      <c r="G206" s="18">
        <f>14805.04+849.97+17.6+2703.79+3448.99+202.58+45.17</f>
        <v>22073.14</v>
      </c>
      <c r="H206" s="18">
        <f>1019.77+1584.9+539.35+5740+265.03+63.97+70.86+533+1493.44</f>
        <v>11310.320000000002</v>
      </c>
      <c r="I206" s="18">
        <f>7978.55+19855.13+29572.14+1152.1+566.26</f>
        <v>59124.18</v>
      </c>
      <c r="J206" s="18">
        <f>157.41+716.7</f>
        <v>874.11</v>
      </c>
      <c r="K206" s="18">
        <f>5688.11+1466.66</f>
        <v>7154.7699999999995</v>
      </c>
      <c r="L206" s="19">
        <f t="shared" si="0"/>
        <v>139729.34999999998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f>4474.25+5682.6</f>
        <v>10156.85</v>
      </c>
      <c r="G207" s="18">
        <f>8.8+342.33+23.13+5.16+3448.68+118.85+379.74+500.06+29.37+6.55</f>
        <v>4862.67</v>
      </c>
      <c r="H207" s="18">
        <f>1201.61+30258.4+8783+1200+200+700+245+375+400+100</f>
        <v>43463.01</v>
      </c>
      <c r="I207" s="18">
        <f>186.29+3820.62+85.31</f>
        <v>4092.22</v>
      </c>
      <c r="J207" s="18">
        <v>8006.74</v>
      </c>
      <c r="K207" s="18"/>
      <c r="L207" s="19">
        <f t="shared" si="0"/>
        <v>70581.490000000005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>
        <f>498.15</f>
        <v>498.15</v>
      </c>
      <c r="I208" s="18"/>
      <c r="J208" s="18"/>
      <c r="K208" s="18"/>
      <c r="L208" s="19">
        <f>SUM(F208:K208)</f>
        <v>498.15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1312561.0300000003</v>
      </c>
      <c r="G210" s="41">
        <f t="shared" si="1"/>
        <v>584944.51000000013</v>
      </c>
      <c r="H210" s="41">
        <f t="shared" si="1"/>
        <v>401902.86000000004</v>
      </c>
      <c r="I210" s="41">
        <f t="shared" si="1"/>
        <v>104245.06</v>
      </c>
      <c r="J210" s="41">
        <f t="shared" si="1"/>
        <v>16922.72</v>
      </c>
      <c r="K210" s="41">
        <f t="shared" si="1"/>
        <v>14591.47</v>
      </c>
      <c r="L210" s="41">
        <f t="shared" si="1"/>
        <v>2435167.6500000004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f>441941.4+9580</f>
        <v>451521.4</v>
      </c>
      <c r="G214" s="18">
        <f>101126.45+3216.48+268.8+279.9+33022.79+149.6+49264.03+2297.27+512.24</f>
        <v>190137.55999999997</v>
      </c>
      <c r="H214" s="18">
        <f>3055.91+2086.58+2711.23</f>
        <v>7853.7199999999993</v>
      </c>
      <c r="I214" s="18">
        <f>5466.55+542.75+1051.78+266.37+2339.82</f>
        <v>9667.27</v>
      </c>
      <c r="J214" s="18">
        <f>472.68+3980</f>
        <v>4452.68</v>
      </c>
      <c r="K214" s="18">
        <f>1132.59</f>
        <v>1132.5899999999999</v>
      </c>
      <c r="L214" s="19">
        <f>SUM(F214:K214)</f>
        <v>664765.22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f>100656.2+4795+3155</f>
        <v>108606.2</v>
      </c>
      <c r="G215" s="18">
        <f>35310+1068.02+92.96+6959.65+3023.19+6425.62+520.28+116.01+240+168.96+31.07+16.31+3.64</f>
        <v>53975.71</v>
      </c>
      <c r="H215" s="18">
        <f>1897.07+25927.83+171.21</f>
        <v>27996.11</v>
      </c>
      <c r="I215" s="18">
        <f>248.86+703.26</f>
        <v>952.12</v>
      </c>
      <c r="J215" s="18"/>
      <c r="K215" s="18">
        <f>260</f>
        <v>260</v>
      </c>
      <c r="L215" s="19">
        <f>SUM(F215:K215)</f>
        <v>191790.14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f>10149+3400+2340</f>
        <v>15889</v>
      </c>
      <c r="G217" s="18">
        <f>775.31+366.01+56.67+12.64+254.15+384.2+178.52+264.41</f>
        <v>2291.9100000000003</v>
      </c>
      <c r="H217" s="18">
        <f>3390</f>
        <v>3390</v>
      </c>
      <c r="I217" s="18">
        <f>293.1</f>
        <v>293.10000000000002</v>
      </c>
      <c r="J217" s="18"/>
      <c r="K217" s="18">
        <f>820</f>
        <v>820</v>
      </c>
      <c r="L217" s="19">
        <f>SUM(F217:K217)</f>
        <v>22684.01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35857.32+9016.25</f>
        <v>44873.57</v>
      </c>
      <c r="G219" s="18">
        <f>12474.11+307.4+7.09+2528.98+1237.86+2462.19+185.34+41.33+3063.27+87.98+642.86+1018.85+46.6+10.39+0.43</f>
        <v>24114.679999999997</v>
      </c>
      <c r="H219" s="18">
        <f>600+250.39+891+29.33+15766.38+1293.75+5810+72.5</f>
        <v>24713.35</v>
      </c>
      <c r="I219" s="18">
        <f>142.35+123.4</f>
        <v>265.75</v>
      </c>
      <c r="J219" s="18"/>
      <c r="K219" s="18">
        <f>119</f>
        <v>119</v>
      </c>
      <c r="L219" s="19">
        <f t="shared" ref="L219:L225" si="2">SUM(F219:K219)</f>
        <v>94086.35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f>14327.79</f>
        <v>14327.79</v>
      </c>
      <c r="G220" s="18">
        <f>348.95+2716+185+3024.03+86.79+10.32+1043.45+1619.02+74.06+16.51</f>
        <v>9124.1299999999992</v>
      </c>
      <c r="H220" s="18">
        <f>567.71+33.99+50+7406.92</f>
        <v>8058.62</v>
      </c>
      <c r="I220" s="18">
        <f>49.2+69.49+2036.25+238+918.06+773.47+167.76</f>
        <v>4252.2300000000005</v>
      </c>
      <c r="J220" s="18">
        <f>185.53</f>
        <v>185.53</v>
      </c>
      <c r="K220" s="18"/>
      <c r="L220" s="19">
        <f t="shared" si="2"/>
        <v>35948.299999999996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f>1430+205.2+864+268.8+67314.18</f>
        <v>70082.179999999993</v>
      </c>
      <c r="G221" s="18">
        <f>109.39+13.06+18.05+66.08+20.01+5.28+14523.29+442.92+238.32+4838.46+2864.63+1742.78+347.94+77.58+660.96+27</f>
        <v>25995.75</v>
      </c>
      <c r="H221" s="18">
        <f>720+13.55+134.08+238.86+16.8+2299.54+2040+2738.42+2139.35+270.85+2850+524.94+210.17+800.57+220.36+1137.8</f>
        <v>16355.29</v>
      </c>
      <c r="I221" s="18">
        <f>95.76+13.84+207.93+610.33+357.44+146.59+24.8</f>
        <v>1456.69</v>
      </c>
      <c r="J221" s="18"/>
      <c r="K221" s="18">
        <f>772.44+66+537.71+51.5</f>
        <v>1427.65</v>
      </c>
      <c r="L221" s="19">
        <f t="shared" si="2"/>
        <v>115317.56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f>67404.24</f>
        <v>67404.240000000005</v>
      </c>
      <c r="G222" s="18">
        <f>6300+361.7+204.12+5042.23+1381.59+5842.47+348.4+77.69+67.2</f>
        <v>19625.400000000001</v>
      </c>
      <c r="H222" s="18">
        <f>46+1483.44+376.2+173.76+492.16+483.36</f>
        <v>3054.92</v>
      </c>
      <c r="I222" s="18">
        <f>407.08+160</f>
        <v>567.07999999999993</v>
      </c>
      <c r="J222" s="18">
        <f>1428.94</f>
        <v>1428.94</v>
      </c>
      <c r="K222" s="18">
        <f>1383.27+177.9</f>
        <v>1561.17</v>
      </c>
      <c r="L222" s="19">
        <f t="shared" si="2"/>
        <v>93641.750000000015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f>33281.16</f>
        <v>33281.160000000003</v>
      </c>
      <c r="G224" s="18">
        <f>14111.89+128.55+17.6+2338.05+2928.75+172.03+38.36</f>
        <v>19735.23</v>
      </c>
      <c r="H224" s="18">
        <f>2987.21+990.21+441.9+3360+252.95+37.44+41.48+312+22.5</f>
        <v>8445.6899999999987</v>
      </c>
      <c r="I224" s="18">
        <f>4990.16+19397.21+32460.03+921.77+331.46</f>
        <v>58100.62999999999</v>
      </c>
      <c r="J224" s="18">
        <f>92.14+477.8</f>
        <v>569.94000000000005</v>
      </c>
      <c r="K224" s="18">
        <f>3935.85+990</f>
        <v>4925.8500000000004</v>
      </c>
      <c r="L224" s="19">
        <f t="shared" si="2"/>
        <v>125058.5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f>2131.25+6047.25</f>
        <v>8178.5</v>
      </c>
      <c r="G225" s="18">
        <f>163.01+466.77+31.26+6.97</f>
        <v>668.01</v>
      </c>
      <c r="H225" s="18">
        <f>18662.2+1596.38+2391.89+6040.3+9732.16</f>
        <v>38422.93</v>
      </c>
      <c r="I225" s="18">
        <f>45.35+808.82+118.65+4738.19</f>
        <v>5711.0099999999993</v>
      </c>
      <c r="J225" s="18"/>
      <c r="K225" s="18"/>
      <c r="L225" s="19">
        <f t="shared" si="2"/>
        <v>52980.450000000004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>
        <f>291.6</f>
        <v>291.60000000000002</v>
      </c>
      <c r="I226" s="18"/>
      <c r="J226" s="18"/>
      <c r="K226" s="18"/>
      <c r="L226" s="19">
        <f>SUM(F226:K226)</f>
        <v>291.60000000000002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814164.03999999992</v>
      </c>
      <c r="G228" s="41">
        <f>SUM(G214:G227)</f>
        <v>345668.38</v>
      </c>
      <c r="H228" s="41">
        <f>SUM(H214:H227)</f>
        <v>138582.23000000001</v>
      </c>
      <c r="I228" s="41">
        <f>SUM(I214:I227)</f>
        <v>81265.87999999999</v>
      </c>
      <c r="J228" s="41">
        <f>SUM(J214:J227)</f>
        <v>6637.09</v>
      </c>
      <c r="K228" s="41">
        <f t="shared" si="3"/>
        <v>10246.26</v>
      </c>
      <c r="L228" s="41">
        <f t="shared" si="3"/>
        <v>1396563.8800000001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f>623712.26+34561.33</f>
        <v>658273.59</v>
      </c>
      <c r="G232" s="18">
        <f>110124.42+3573.03+502.4+393.26+48732.22+110+64149.12+3262.66+727.5</f>
        <v>231574.61</v>
      </c>
      <c r="H232" s="18">
        <f>4456.53+5042.33+3910.6+29714.26+510+17245.79+455.92+212.48</f>
        <v>61547.91</v>
      </c>
      <c r="I232" s="18">
        <f>9481.72+846.35+139.51+2885.31+13263.46+386+5640.9</f>
        <v>32643.25</v>
      </c>
      <c r="J232" s="18">
        <f>8816.43+867.7+1884+1035.99+15235+14931.06</f>
        <v>42770.18</v>
      </c>
      <c r="K232" s="18">
        <f>2319.51</f>
        <v>2319.5100000000002</v>
      </c>
      <c r="L232" s="19">
        <f>SUM(F232:K232)</f>
        <v>1029129.05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148293.9+2570+3100</f>
        <v>153963.9</v>
      </c>
      <c r="G233" s="18">
        <f>17600+1085.13+129.6+11691.21+4596.59+9550.49+792.36+176.68+237.01+140.8+169.5+16.02+3.57</f>
        <v>46188.959999999999</v>
      </c>
      <c r="H233" s="18">
        <f>110+2780.76+90.38+69037.93+42430.08+116688+301.92+365.82-55590</f>
        <v>176214.89</v>
      </c>
      <c r="I233" s="18">
        <f>1051.6+1662.44+101.19</f>
        <v>2815.23</v>
      </c>
      <c r="J233" s="18">
        <f>361.39+37.99</f>
        <v>399.38</v>
      </c>
      <c r="K233" s="18"/>
      <c r="L233" s="19">
        <f>SUM(F233:K233)</f>
        <v>379582.36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f>5000</f>
        <v>5000</v>
      </c>
      <c r="G234" s="18">
        <f>253.25+355.72+25.84+5.76</f>
        <v>640.57000000000005</v>
      </c>
      <c r="H234" s="18">
        <f>13382.68</f>
        <v>13382.68</v>
      </c>
      <c r="I234" s="18">
        <f>59.8</f>
        <v>59.8</v>
      </c>
      <c r="J234" s="18"/>
      <c r="K234" s="18"/>
      <c r="L234" s="19">
        <f>SUM(F234:K234)</f>
        <v>19083.05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f>32036.5+3196.5</f>
        <v>35233</v>
      </c>
      <c r="G235" s="18">
        <f>722.9+1.85+2550.94+209.13+1588.94+165.59+36.92+250+239.68+17.29+339</f>
        <v>6122.2400000000007</v>
      </c>
      <c r="H235" s="18">
        <f>324+9924</f>
        <v>10248</v>
      </c>
      <c r="I235" s="18">
        <f>16563.97+300+303.72</f>
        <v>17167.690000000002</v>
      </c>
      <c r="J235" s="18"/>
      <c r="K235" s="18">
        <f>5286</f>
        <v>5286</v>
      </c>
      <c r="L235" s="19">
        <f>SUM(F235:K235)</f>
        <v>74056.929999999993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49878.08+12895.13</f>
        <v>62773.21</v>
      </c>
      <c r="G237" s="18">
        <f>17135.89+416.02+48.91+3523.03+1513.2+3693.29+257.81+57.49+4377.68+125.65+919.55+1457.18+66.65+14.86+0.53</f>
        <v>33607.740000000005</v>
      </c>
      <c r="H237" s="18">
        <f>23000+5306.5+630.2+350+371.4+549.9+1299.38+42.78+21130.2+3237.5+72.5</f>
        <v>55990.36</v>
      </c>
      <c r="I237" s="18">
        <f>315.43+667+269.66+95.9</f>
        <v>1347.9900000000002</v>
      </c>
      <c r="J237" s="18"/>
      <c r="K237" s="18">
        <f>40</f>
        <v>40</v>
      </c>
      <c r="L237" s="19">
        <f t="shared" ref="L237:L243" si="4">SUM(F237:K237)</f>
        <v>153759.29999999999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4000+35920.7</f>
        <v>39920.699999999997</v>
      </c>
      <c r="G238" s="18">
        <f>299.77+452+1923+9246+2385+5165.91+148.36+12.72+2658.52+2765.87+185.67+41.4</f>
        <v>25284.22</v>
      </c>
      <c r="H238" s="18">
        <f>667.71+820.52+10801.75</f>
        <v>12289.98</v>
      </c>
      <c r="I238" s="18">
        <f>242.68+141.32+2455.37+464.84+1028.21+1130.41+244.65</f>
        <v>5707.48</v>
      </c>
      <c r="J238" s="18"/>
      <c r="K238" s="18"/>
      <c r="L238" s="19">
        <f t="shared" si="4"/>
        <v>83202.37999999999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f>1815+299.25+1260+392+97758.92</f>
        <v>101525.17</v>
      </c>
      <c r="G239" s="18">
        <f>138.83+19.28+26.41+96.4+29.18+7.7+20906.84+638.05+347.63+7030.42+4142.06+2541.5+505.3+112.67+1068.9+33</f>
        <v>37644.17</v>
      </c>
      <c r="H239" s="18">
        <f>1050+19.78+193.97+348.34+24.5+3350.5+2975+3993.52+3142.22+395+3800+766.43+310.34+1167.5+421.14+1663.28</f>
        <v>23621.52</v>
      </c>
      <c r="I239" s="18">
        <f>139.65+20.17+303.2+983.2+522.16+213.78+35.25</f>
        <v>2217.4100000000003</v>
      </c>
      <c r="J239" s="18"/>
      <c r="K239" s="18">
        <f>1126.47+96.25+784.16+257.5</f>
        <v>2264.38</v>
      </c>
      <c r="L239" s="19">
        <f t="shared" si="4"/>
        <v>167272.65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f>75254.16</f>
        <v>75254.16</v>
      </c>
      <c r="G240" s="18">
        <f>6300+434.21+315.4+5640.48+2072.38+5842.46+388.98+86.73+547.65</f>
        <v>21628.29</v>
      </c>
      <c r="H240" s="18">
        <f>70+2163.83+547.13+253.4+722.3+512.43+385.58</f>
        <v>4654.67</v>
      </c>
      <c r="I240" s="18">
        <f>1550.46+600.75</f>
        <v>2151.21</v>
      </c>
      <c r="J240" s="18">
        <f>3133</f>
        <v>3133</v>
      </c>
      <c r="K240" s="18">
        <f>1573.55+259.44</f>
        <v>1832.99</v>
      </c>
      <c r="L240" s="19">
        <f t="shared" si="4"/>
        <v>108654.32000000002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f>40624.13+1875.5</f>
        <v>42499.63</v>
      </c>
      <c r="G242" s="18">
        <f>2583.07+148.37+35.2+3209.94+3574.96+209.98+46.82+71.6</f>
        <v>9879.94</v>
      </c>
      <c r="H242" s="18">
        <f>9561.3+3250.32+609.6+5530+191.56+54.61+60.5+455+77.81</f>
        <v>19790.700000000004</v>
      </c>
      <c r="I242" s="18">
        <f>6880.05+24884.47+37290.79+1290.38+483.43</f>
        <v>70829.119999999995</v>
      </c>
      <c r="J242" s="18">
        <f>134.37+716.7</f>
        <v>851.07</v>
      </c>
      <c r="K242" s="18">
        <f>5565.49+1210</f>
        <v>6775.49</v>
      </c>
      <c r="L242" s="19">
        <f t="shared" si="4"/>
        <v>150625.95000000001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f>19308.15+1355.75</f>
        <v>20663.900000000001</v>
      </c>
      <c r="G243" s="18">
        <f>11.02+2.46+6904.47+237.78+1367.81+996.97+99.8+22.25+146.85+5.2+101.57+20.81</f>
        <v>9916.989999999998</v>
      </c>
      <c r="H243" s="18">
        <f>25830.4+2673.77+13417.8+200+983.1+60+1055.8</f>
        <v>44220.87</v>
      </c>
      <c r="I243" s="18">
        <f>59.43+63.78+13015.19</f>
        <v>13138.4</v>
      </c>
      <c r="J243" s="18"/>
      <c r="K243" s="18"/>
      <c r="L243" s="19">
        <f t="shared" si="4"/>
        <v>87940.160000000003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>
        <v>476.25</v>
      </c>
      <c r="I244" s="18"/>
      <c r="J244" s="18"/>
      <c r="K244" s="18"/>
      <c r="L244" s="19">
        <f>SUM(F244:K244)</f>
        <v>476.25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1195107.2599999995</v>
      </c>
      <c r="G246" s="41">
        <f t="shared" si="5"/>
        <v>422487.72999999992</v>
      </c>
      <c r="H246" s="41">
        <f t="shared" si="5"/>
        <v>422437.83</v>
      </c>
      <c r="I246" s="41">
        <f t="shared" si="5"/>
        <v>148077.57999999999</v>
      </c>
      <c r="J246" s="41">
        <f t="shared" si="5"/>
        <v>47153.63</v>
      </c>
      <c r="K246" s="41">
        <f t="shared" si="5"/>
        <v>18518.37</v>
      </c>
      <c r="L246" s="41">
        <f t="shared" si="5"/>
        <v>2253782.4000000004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3321832.33</v>
      </c>
      <c r="G256" s="41">
        <f t="shared" si="8"/>
        <v>1353100.62</v>
      </c>
      <c r="H256" s="41">
        <f t="shared" si="8"/>
        <v>962922.92000000016</v>
      </c>
      <c r="I256" s="41">
        <f t="shared" si="8"/>
        <v>333588.52</v>
      </c>
      <c r="J256" s="41">
        <f t="shared" si="8"/>
        <v>70713.440000000002</v>
      </c>
      <c r="K256" s="41">
        <f t="shared" si="8"/>
        <v>43356.1</v>
      </c>
      <c r="L256" s="41">
        <f t="shared" si="8"/>
        <v>6085513.9300000006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f>70684.67</f>
        <v>70684.67</v>
      </c>
      <c r="L259" s="19">
        <f>SUM(F259:K259)</f>
        <v>70684.67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f>3543.73</f>
        <v>3543.73</v>
      </c>
      <c r="L260" s="19">
        <f>SUM(F260:K260)</f>
        <v>3543.73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f>20380.46</f>
        <v>20380.46</v>
      </c>
      <c r="L262" s="19">
        <f>SUM(F262:K262)</f>
        <v>20380.46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100000</v>
      </c>
      <c r="L265" s="19">
        <f t="shared" si="9"/>
        <v>100000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>
        <v>55590</v>
      </c>
      <c r="L267" s="19">
        <f t="shared" si="9"/>
        <v>55590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250198.86</v>
      </c>
      <c r="L269" s="41">
        <f t="shared" si="9"/>
        <v>250198.86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3321832.33</v>
      </c>
      <c r="G270" s="42">
        <f t="shared" si="11"/>
        <v>1353100.62</v>
      </c>
      <c r="H270" s="42">
        <f t="shared" si="11"/>
        <v>962922.92000000016</v>
      </c>
      <c r="I270" s="42">
        <f t="shared" si="11"/>
        <v>333588.52</v>
      </c>
      <c r="J270" s="42">
        <f t="shared" si="11"/>
        <v>70713.440000000002</v>
      </c>
      <c r="K270" s="42">
        <f t="shared" si="11"/>
        <v>293554.95999999996</v>
      </c>
      <c r="L270" s="42">
        <f t="shared" si="11"/>
        <v>6335712.790000001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62844</v>
      </c>
      <c r="G275" s="18">
        <f>6300+361.71+4591.67+5381.26</f>
        <v>16634.64</v>
      </c>
      <c r="H275" s="18"/>
      <c r="I275" s="18">
        <f>1541.91+7124</f>
        <v>8665.91</v>
      </c>
      <c r="J275" s="18">
        <f>410</f>
        <v>410</v>
      </c>
      <c r="K275" s="18"/>
      <c r="L275" s="19">
        <f>SUM(F275:K275)</f>
        <v>88554.55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17525</f>
        <v>17525</v>
      </c>
      <c r="G276" s="18">
        <f>1178.94+1543</f>
        <v>2721.94</v>
      </c>
      <c r="H276" s="18">
        <f>989.71+5503.63+6084</f>
        <v>12577.34</v>
      </c>
      <c r="I276" s="18">
        <f>150.31</f>
        <v>150.31</v>
      </c>
      <c r="J276" s="18">
        <f>1604.95</f>
        <v>1604.95</v>
      </c>
      <c r="K276" s="18">
        <v>100</v>
      </c>
      <c r="L276" s="19">
        <f>SUM(F276:K276)</f>
        <v>34679.539999999994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>
        <f>2034.83+4771.67+14764</f>
        <v>21570.5</v>
      </c>
      <c r="I280" s="18"/>
      <c r="J280" s="18"/>
      <c r="K280" s="18"/>
      <c r="L280" s="19">
        <f t="shared" ref="L280:L286" si="12">SUM(F280:K280)</f>
        <v>21570.5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f>50+490</f>
        <v>540</v>
      </c>
      <c r="G281" s="18"/>
      <c r="H281" s="18">
        <f>888.54</f>
        <v>888.54</v>
      </c>
      <c r="I281" s="18"/>
      <c r="J281" s="18"/>
      <c r="K281" s="18"/>
      <c r="L281" s="19">
        <f t="shared" si="12"/>
        <v>1428.54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80909</v>
      </c>
      <c r="G289" s="42">
        <f t="shared" si="13"/>
        <v>19356.579999999998</v>
      </c>
      <c r="H289" s="42">
        <f t="shared" si="13"/>
        <v>35036.379999999997</v>
      </c>
      <c r="I289" s="42">
        <f t="shared" si="13"/>
        <v>8816.2199999999993</v>
      </c>
      <c r="J289" s="42">
        <f t="shared" si="13"/>
        <v>2014.95</v>
      </c>
      <c r="K289" s="42">
        <f t="shared" si="13"/>
        <v>100</v>
      </c>
      <c r="L289" s="41">
        <f t="shared" si="13"/>
        <v>146233.13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>
        <v>2725.99</v>
      </c>
      <c r="J294" s="18">
        <f>240</f>
        <v>240</v>
      </c>
      <c r="K294" s="18"/>
      <c r="L294" s="19">
        <f>SUM(F294:K294)</f>
        <v>2965.99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f>27249.2</f>
        <v>27249.200000000001</v>
      </c>
      <c r="G295" s="18">
        <f>2192.83+2497</f>
        <v>4689.83</v>
      </c>
      <c r="H295" s="18">
        <f>5588.33</f>
        <v>5588.33</v>
      </c>
      <c r="I295" s="18">
        <f>44</f>
        <v>44</v>
      </c>
      <c r="J295" s="18">
        <f>433.95</f>
        <v>433.95</v>
      </c>
      <c r="K295" s="18"/>
      <c r="L295" s="19">
        <f>SUM(F295:K295)</f>
        <v>38005.31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27249.200000000001</v>
      </c>
      <c r="G308" s="42">
        <f t="shared" si="15"/>
        <v>4689.83</v>
      </c>
      <c r="H308" s="42">
        <f t="shared" si="15"/>
        <v>5588.33</v>
      </c>
      <c r="I308" s="42">
        <f t="shared" si="15"/>
        <v>2769.99</v>
      </c>
      <c r="J308" s="42">
        <f t="shared" si="15"/>
        <v>673.95</v>
      </c>
      <c r="K308" s="42">
        <f t="shared" si="15"/>
        <v>0</v>
      </c>
      <c r="L308" s="41">
        <f t="shared" si="15"/>
        <v>40971.299999999996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>
        <f>2706.42</f>
        <v>2706.42</v>
      </c>
      <c r="K313" s="18">
        <f>5954.22</f>
        <v>5954.22</v>
      </c>
      <c r="L313" s="19">
        <f>SUM(F313:K313)</f>
        <v>8660.64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f>1108.8</f>
        <v>1108.8</v>
      </c>
      <c r="G314" s="18">
        <f>84.82</f>
        <v>84.82</v>
      </c>
      <c r="H314" s="18">
        <f>2573.33</f>
        <v>2573.33</v>
      </c>
      <c r="I314" s="18"/>
      <c r="J314" s="18">
        <f>433.95</f>
        <v>433.95</v>
      </c>
      <c r="K314" s="18"/>
      <c r="L314" s="19">
        <f>SUM(F314:K314)</f>
        <v>4200.8999999999996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1500</v>
      </c>
      <c r="G318" s="18"/>
      <c r="H318" s="18">
        <f>1500+1500+1061.27</f>
        <v>4061.27</v>
      </c>
      <c r="I318" s="18"/>
      <c r="J318" s="18"/>
      <c r="K318" s="18"/>
      <c r="L318" s="19">
        <f t="shared" ref="L318:L324" si="16">SUM(F318:K318)</f>
        <v>5561.27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3000</v>
      </c>
      <c r="G319" s="18"/>
      <c r="H319" s="18">
        <f>580</f>
        <v>580</v>
      </c>
      <c r="I319" s="18">
        <f>1702.35</f>
        <v>1702.35</v>
      </c>
      <c r="J319" s="18"/>
      <c r="K319" s="18"/>
      <c r="L319" s="19">
        <f t="shared" si="16"/>
        <v>5282.35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>
        <v>283.23</v>
      </c>
      <c r="I324" s="18"/>
      <c r="J324" s="18"/>
      <c r="K324" s="18"/>
      <c r="L324" s="19">
        <f t="shared" si="16"/>
        <v>283.23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5608.8</v>
      </c>
      <c r="G327" s="42">
        <f t="shared" si="17"/>
        <v>84.82</v>
      </c>
      <c r="H327" s="42">
        <f t="shared" si="17"/>
        <v>7497.83</v>
      </c>
      <c r="I327" s="42">
        <f t="shared" si="17"/>
        <v>1702.35</v>
      </c>
      <c r="J327" s="42">
        <f t="shared" si="17"/>
        <v>3140.37</v>
      </c>
      <c r="K327" s="42">
        <f t="shared" si="17"/>
        <v>5954.22</v>
      </c>
      <c r="L327" s="41">
        <f t="shared" si="17"/>
        <v>23988.389999999996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113767</v>
      </c>
      <c r="G337" s="41">
        <f t="shared" si="20"/>
        <v>24131.229999999996</v>
      </c>
      <c r="H337" s="41">
        <f t="shared" si="20"/>
        <v>48122.54</v>
      </c>
      <c r="I337" s="41">
        <f t="shared" si="20"/>
        <v>13288.56</v>
      </c>
      <c r="J337" s="41">
        <f t="shared" si="20"/>
        <v>5829.27</v>
      </c>
      <c r="K337" s="41">
        <f t="shared" si="20"/>
        <v>6054.22</v>
      </c>
      <c r="L337" s="41">
        <f t="shared" si="20"/>
        <v>211192.81999999998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61817.58</v>
      </c>
      <c r="L343" s="19">
        <f t="shared" ref="L343:L349" si="21">SUM(F343:K343)</f>
        <v>61817.58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61817.58</v>
      </c>
      <c r="L350" s="41">
        <f>SUM(L340:L349)</f>
        <v>61817.58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113767</v>
      </c>
      <c r="G351" s="41">
        <f>G337</f>
        <v>24131.229999999996</v>
      </c>
      <c r="H351" s="41">
        <f>H337</f>
        <v>48122.54</v>
      </c>
      <c r="I351" s="41">
        <f>I337</f>
        <v>13288.56</v>
      </c>
      <c r="J351" s="41">
        <f>J337</f>
        <v>5829.27</v>
      </c>
      <c r="K351" s="47">
        <f>K337+K350</f>
        <v>67871.8</v>
      </c>
      <c r="L351" s="41">
        <f>L337+L350</f>
        <v>273010.39999999997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>
        <f>2205.48+73791.39</f>
        <v>75996.87</v>
      </c>
      <c r="I357" s="18">
        <f>853.25</f>
        <v>853.25</v>
      </c>
      <c r="J357" s="18"/>
      <c r="K357" s="18">
        <v>-7124</v>
      </c>
      <c r="L357" s="13">
        <f>SUM(F357:K357)</f>
        <v>69726.12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>
        <f>1291.02+43194.96</f>
        <v>44485.979999999996</v>
      </c>
      <c r="I358" s="18">
        <f>499.47</f>
        <v>499.47</v>
      </c>
      <c r="J358" s="18"/>
      <c r="K358" s="18"/>
      <c r="L358" s="19">
        <f>SUM(F358:K358)</f>
        <v>44985.45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>
        <f>1882.74+62992.65</f>
        <v>64875.39</v>
      </c>
      <c r="I359" s="18">
        <f>728.37</f>
        <v>728.37</v>
      </c>
      <c r="J359" s="18"/>
      <c r="K359" s="18"/>
      <c r="L359" s="19">
        <f>SUM(F359:K359)</f>
        <v>65603.759999999995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185358.24</v>
      </c>
      <c r="I361" s="47">
        <f t="shared" si="22"/>
        <v>2081.09</v>
      </c>
      <c r="J361" s="47">
        <f t="shared" si="22"/>
        <v>0</v>
      </c>
      <c r="K361" s="47">
        <f t="shared" si="22"/>
        <v>-7124</v>
      </c>
      <c r="L361" s="47">
        <f t="shared" si="22"/>
        <v>180315.33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853.25</v>
      </c>
      <c r="G367" s="63">
        <v>499.47</v>
      </c>
      <c r="H367" s="63">
        <v>728.37</v>
      </c>
      <c r="I367" s="56">
        <f>SUM(F367:H367)</f>
        <v>2081.09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853.25</v>
      </c>
      <c r="G368" s="47">
        <f>SUM(G366:G367)</f>
        <v>499.47</v>
      </c>
      <c r="H368" s="47">
        <f>SUM(H366:H367)</f>
        <v>728.37</v>
      </c>
      <c r="I368" s="47">
        <f>SUM(I366:I367)</f>
        <v>2081.09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>
        <v>37644.800000000003</v>
      </c>
      <c r="I379" s="18"/>
      <c r="J379" s="18"/>
      <c r="K379" s="18"/>
      <c r="L379" s="13">
        <f t="shared" si="23"/>
        <v>37644.800000000003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37644.800000000003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37644.800000000003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50000</v>
      </c>
      <c r="H395" s="18">
        <f>12.17</f>
        <v>12.17</v>
      </c>
      <c r="I395" s="18"/>
      <c r="J395" s="24" t="s">
        <v>289</v>
      </c>
      <c r="K395" s="24" t="s">
        <v>289</v>
      </c>
      <c r="L395" s="56">
        <f t="shared" si="26"/>
        <v>50012.17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10000</v>
      </c>
      <c r="H396" s="18">
        <v>9.68</v>
      </c>
      <c r="I396" s="18"/>
      <c r="J396" s="24" t="s">
        <v>289</v>
      </c>
      <c r="K396" s="24" t="s">
        <v>289</v>
      </c>
      <c r="L396" s="56">
        <f t="shared" si="26"/>
        <v>10009.68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>
        <v>10000</v>
      </c>
      <c r="H398" s="18">
        <v>7.06</v>
      </c>
      <c r="I398" s="18"/>
      <c r="J398" s="24" t="s">
        <v>289</v>
      </c>
      <c r="K398" s="24" t="s">
        <v>289</v>
      </c>
      <c r="L398" s="56">
        <f t="shared" si="26"/>
        <v>10007.06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>
        <f>5000+20000+5000</f>
        <v>30000</v>
      </c>
      <c r="H399" s="18">
        <f>4.49+5.4+4.96</f>
        <v>14.850000000000001</v>
      </c>
      <c r="I399" s="18"/>
      <c r="J399" s="24" t="s">
        <v>289</v>
      </c>
      <c r="K399" s="24" t="s">
        <v>289</v>
      </c>
      <c r="L399" s="56">
        <f t="shared" si="26"/>
        <v>30014.85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100000</v>
      </c>
      <c r="H400" s="47">
        <f>SUM(H394:H399)</f>
        <v>43.760000000000005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100043.76000000001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100000</v>
      </c>
      <c r="H407" s="47">
        <f>H392+H400+H406</f>
        <v>43.760000000000005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100043.76000000001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>
        <v>20700</v>
      </c>
      <c r="I421" s="18"/>
      <c r="J421" s="18"/>
      <c r="K421" s="18"/>
      <c r="L421" s="56">
        <f t="shared" si="29"/>
        <v>20700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>
        <f>12953.36</f>
        <v>12953.36</v>
      </c>
      <c r="K424" s="18"/>
      <c r="L424" s="56">
        <f t="shared" si="29"/>
        <v>12953.36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>
        <f>1484</f>
        <v>1484</v>
      </c>
      <c r="K425" s="18"/>
      <c r="L425" s="56">
        <f t="shared" si="29"/>
        <v>1484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20700</v>
      </c>
      <c r="I426" s="47">
        <f t="shared" si="30"/>
        <v>0</v>
      </c>
      <c r="J426" s="47">
        <f t="shared" si="30"/>
        <v>14437.36</v>
      </c>
      <c r="K426" s="47">
        <f t="shared" si="30"/>
        <v>0</v>
      </c>
      <c r="L426" s="47">
        <f t="shared" si="30"/>
        <v>35137.360000000001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20700</v>
      </c>
      <c r="I433" s="47">
        <f t="shared" si="32"/>
        <v>0</v>
      </c>
      <c r="J433" s="47">
        <f t="shared" si="32"/>
        <v>14437.36</v>
      </c>
      <c r="K433" s="47">
        <f t="shared" si="32"/>
        <v>0</v>
      </c>
      <c r="L433" s="47">
        <f t="shared" si="32"/>
        <v>35137.360000000001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176998.59</v>
      </c>
      <c r="H438" s="18"/>
      <c r="I438" s="56">
        <f t="shared" ref="I438:I444" si="33">SUM(F438:H438)</f>
        <v>176998.59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176998.59</v>
      </c>
      <c r="H445" s="13">
        <f>SUM(H438:H444)</f>
        <v>0</v>
      </c>
      <c r="I445" s="13">
        <f>SUM(I438:I444)</f>
        <v>176998.59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176998.59</v>
      </c>
      <c r="H458" s="18"/>
      <c r="I458" s="56">
        <f t="shared" si="34"/>
        <v>176998.59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176998.59</v>
      </c>
      <c r="H459" s="83">
        <f>SUM(H453:H458)</f>
        <v>0</v>
      </c>
      <c r="I459" s="83">
        <f>SUM(I453:I458)</f>
        <v>176998.59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176998.59</v>
      </c>
      <c r="H460" s="42">
        <f>H451+H459</f>
        <v>0</v>
      </c>
      <c r="I460" s="42">
        <f>I451+I459</f>
        <v>176998.59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311659.76</v>
      </c>
      <c r="G464" s="18">
        <v>9043.67</v>
      </c>
      <c r="H464" s="18">
        <v>40570.26</v>
      </c>
      <c r="I464" s="18">
        <v>-4500</v>
      </c>
      <c r="J464" s="18">
        <v>112092.19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6737505.9000000004</v>
      </c>
      <c r="G467" s="18">
        <v>180315.33</v>
      </c>
      <c r="H467" s="18">
        <v>208466.83</v>
      </c>
      <c r="I467" s="18">
        <v>37644.800000000003</v>
      </c>
      <c r="J467" s="18">
        <v>100043.76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6737505.9000000004</v>
      </c>
      <c r="G469" s="53">
        <f>SUM(G467:G468)</f>
        <v>180315.33</v>
      </c>
      <c r="H469" s="53">
        <f>SUM(H467:H468)</f>
        <v>208466.83</v>
      </c>
      <c r="I469" s="53">
        <f>SUM(I467:I468)</f>
        <v>37644.800000000003</v>
      </c>
      <c r="J469" s="53">
        <f>SUM(J467:J468)</f>
        <v>100043.76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6335712.79</v>
      </c>
      <c r="G471" s="18">
        <v>180315.33</v>
      </c>
      <c r="H471" s="18">
        <v>273010.40000000002</v>
      </c>
      <c r="I471" s="18">
        <v>37644.800000000003</v>
      </c>
      <c r="J471" s="18">
        <v>35137.360000000001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6335712.79</v>
      </c>
      <c r="G473" s="53">
        <f>SUM(G471:G472)</f>
        <v>180315.33</v>
      </c>
      <c r="H473" s="53">
        <f>SUM(H471:H472)</f>
        <v>273010.40000000002</v>
      </c>
      <c r="I473" s="53">
        <f>SUM(I471:I472)</f>
        <v>37644.800000000003</v>
      </c>
      <c r="J473" s="53">
        <f>SUM(J471:J472)</f>
        <v>35137.360000000001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713452.87000000011</v>
      </c>
      <c r="G475" s="53">
        <f>(G464+G469)- G473</f>
        <v>9043.6700000000128</v>
      </c>
      <c r="H475" s="53">
        <f>(H464+H469)- H473</f>
        <v>-23973.310000000027</v>
      </c>
      <c r="I475" s="53">
        <f>(I464+I469)- I473</f>
        <v>-4500</v>
      </c>
      <c r="J475" s="53">
        <f>(J464+J469)- J473</f>
        <v>176998.59000000003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5</v>
      </c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911</v>
      </c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500000</v>
      </c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1.78E-2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215815.39</v>
      </c>
      <c r="G494" s="18"/>
      <c r="H494" s="18"/>
      <c r="I494" s="18"/>
      <c r="J494" s="18"/>
      <c r="K494" s="53">
        <f>SUM(F494:J494)</f>
        <v>215815.39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f>35161.44+35488.52</f>
        <v>70649.959999999992</v>
      </c>
      <c r="G496" s="18"/>
      <c r="H496" s="18"/>
      <c r="I496" s="18"/>
      <c r="J496" s="18"/>
      <c r="K496" s="53">
        <f t="shared" si="35"/>
        <v>70649.959999999992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f>F494-F496</f>
        <v>145165.43000000002</v>
      </c>
      <c r="G497" s="204"/>
      <c r="H497" s="204"/>
      <c r="I497" s="204"/>
      <c r="J497" s="204"/>
      <c r="K497" s="205">
        <f t="shared" si="35"/>
        <v>145165.43000000002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f>1313.5+1646.81+331</f>
        <v>3291.31</v>
      </c>
      <c r="G498" s="18"/>
      <c r="H498" s="18"/>
      <c r="I498" s="18"/>
      <c r="J498" s="18"/>
      <c r="K498" s="53">
        <f t="shared" si="35"/>
        <v>3291.31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148456.74000000002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148456.74000000002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f>35800.7+36130.04</f>
        <v>71930.739999999991</v>
      </c>
      <c r="G500" s="204"/>
      <c r="H500" s="204"/>
      <c r="I500" s="204"/>
      <c r="J500" s="204"/>
      <c r="K500" s="205">
        <f t="shared" si="35"/>
        <v>71930.739999999991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f>1313.5+984.16</f>
        <v>2297.66</v>
      </c>
      <c r="G501" s="18"/>
      <c r="H501" s="18"/>
      <c r="I501" s="18"/>
      <c r="J501" s="18"/>
      <c r="K501" s="53">
        <f t="shared" si="35"/>
        <v>2297.66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74228.399999999994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74228.399999999994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163404.85+5604.38+1361.2+17525</f>
        <v>187895.43000000002</v>
      </c>
      <c r="G520" s="18">
        <f>53610+1412.5+145.44+12050.28+1705.42+14116.35+844.62+188.33+98.55+146.89+7.04+1.57+1178.94+1543</f>
        <v>87048.930000000008</v>
      </c>
      <c r="H520" s="18">
        <f>1358.63+3272.52+59.54+36949.09+54223.36+79438.6+64.68+989.71+5503.63+6084</f>
        <v>187943.75999999998</v>
      </c>
      <c r="I520" s="18">
        <f>279.14+92.75+150.31</f>
        <v>522.20000000000005</v>
      </c>
      <c r="J520" s="18">
        <f>122.35+1604.95</f>
        <v>1727.3</v>
      </c>
      <c r="K520" s="18">
        <f>414.95+100</f>
        <v>514.95000000000005</v>
      </c>
      <c r="L520" s="88">
        <f>SUM(F520:K520)</f>
        <v>465652.57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>100656.2+4795+3155+27249.2</f>
        <v>135855.4</v>
      </c>
      <c r="G521" s="18">
        <f>35310+1068.02+92.96+6959.65+3023.19+6425.62+520.28+116.01+240+168.96+31.07+16.31+3.64+2192.83+2497</f>
        <v>58665.54</v>
      </c>
      <c r="H521" s="18">
        <f>1897.07+25927.83+171.21+5588.33</f>
        <v>33584.44</v>
      </c>
      <c r="I521" s="18">
        <f>248.86+703.26+44</f>
        <v>996.12</v>
      </c>
      <c r="J521" s="18">
        <f>433.95</f>
        <v>433.95</v>
      </c>
      <c r="K521" s="18"/>
      <c r="L521" s="88">
        <f>SUM(F521:K521)</f>
        <v>229535.45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148293.9+2570+3100+1108.8</f>
        <v>155072.69999999998</v>
      </c>
      <c r="G522" s="18">
        <f>17600+1085.13+129.6+11691.21+4596.59+9550.49+792.36+176.68+237.01+140.8+169.5+16.02+3.57+84.82</f>
        <v>46273.78</v>
      </c>
      <c r="H522" s="18">
        <f>110+2780.76+90.38+69037.93+42430.08+116688+301.92+365.82-55590+2573.33</f>
        <v>178788.22</v>
      </c>
      <c r="I522" s="18">
        <f>1051.6+1662.44+101.19</f>
        <v>2815.23</v>
      </c>
      <c r="J522" s="18">
        <f>361.39+37.99+433.95</f>
        <v>833.32999999999993</v>
      </c>
      <c r="K522" s="18"/>
      <c r="L522" s="88">
        <f>SUM(F522:K522)</f>
        <v>383783.25999999995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478823.53</v>
      </c>
      <c r="G523" s="108">
        <f t="shared" ref="G523:L523" si="36">SUM(G520:G522)</f>
        <v>191988.25</v>
      </c>
      <c r="H523" s="108">
        <f t="shared" si="36"/>
        <v>400316.42</v>
      </c>
      <c r="I523" s="108">
        <f t="shared" si="36"/>
        <v>4333.55</v>
      </c>
      <c r="J523" s="108">
        <f t="shared" si="36"/>
        <v>2994.58</v>
      </c>
      <c r="K523" s="108">
        <f t="shared" si="36"/>
        <v>514.95000000000005</v>
      </c>
      <c r="L523" s="89">
        <f t="shared" si="36"/>
        <v>1078971.28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18071.06+537.5</f>
        <v>18608.560000000001</v>
      </c>
      <c r="G525" s="18">
        <f>0.64+12000+344.6+17.6+1200.65+1590.26+93.41+20.83+41.12+47.3</f>
        <v>15356.41</v>
      </c>
      <c r="H525" s="18">
        <f>28119.42+38627.06+263.01+112.5+36260+1260+14764</f>
        <v>119405.98999999999</v>
      </c>
      <c r="I525" s="18"/>
      <c r="J525" s="18"/>
      <c r="K525" s="18">
        <v>1000</v>
      </c>
      <c r="L525" s="88">
        <f>SUM(F525:K525)</f>
        <v>154370.96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>
        <f>15766.38+1293.75+5810+0.43</f>
        <v>22870.559999999998</v>
      </c>
      <c r="I526" s="18"/>
      <c r="J526" s="18"/>
      <c r="K526" s="18"/>
      <c r="L526" s="88">
        <f>SUM(F526:K526)</f>
        <v>22870.559999999998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f>21130.2+3237.5+0.53</f>
        <v>24368.23</v>
      </c>
      <c r="I527" s="18"/>
      <c r="J527" s="18"/>
      <c r="K527" s="18"/>
      <c r="L527" s="88">
        <f>SUM(F527:K527)</f>
        <v>24368.23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18608.560000000001</v>
      </c>
      <c r="G528" s="89">
        <f t="shared" ref="G528:L528" si="37">SUM(G525:G527)</f>
        <v>15356.41</v>
      </c>
      <c r="H528" s="89">
        <f t="shared" si="37"/>
        <v>166644.78</v>
      </c>
      <c r="I528" s="89">
        <f t="shared" si="37"/>
        <v>0</v>
      </c>
      <c r="J528" s="89">
        <f t="shared" si="37"/>
        <v>0</v>
      </c>
      <c r="K528" s="89">
        <f t="shared" si="37"/>
        <v>1000</v>
      </c>
      <c r="L528" s="89">
        <f t="shared" si="37"/>
        <v>201609.75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26346.6</v>
      </c>
      <c r="G530" s="18">
        <v>6639.34</v>
      </c>
      <c r="H530" s="18"/>
      <c r="I530" s="18"/>
      <c r="J530" s="18"/>
      <c r="K530" s="18"/>
      <c r="L530" s="88">
        <f>SUM(F530:K530)</f>
        <v>32985.94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15422.4</v>
      </c>
      <c r="G531" s="18">
        <v>3886.44</v>
      </c>
      <c r="H531" s="18"/>
      <c r="I531" s="18"/>
      <c r="J531" s="18"/>
      <c r="K531" s="18"/>
      <c r="L531" s="88">
        <f>SUM(F531:K531)</f>
        <v>19308.84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22491</v>
      </c>
      <c r="G532" s="18">
        <v>5667.73</v>
      </c>
      <c r="H532" s="18"/>
      <c r="I532" s="18"/>
      <c r="J532" s="18"/>
      <c r="K532" s="18"/>
      <c r="L532" s="88">
        <f>SUM(F532:K532)</f>
        <v>28158.73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64260</v>
      </c>
      <c r="G533" s="89">
        <f t="shared" ref="G533:L533" si="38">SUM(G530:G532)</f>
        <v>16193.51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80453.509999999995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5682.6</v>
      </c>
      <c r="G540" s="18">
        <f>3448.68+118.85+379.74+500.06+29.37+6.55</f>
        <v>4483.25</v>
      </c>
      <c r="H540" s="18">
        <f>8783</f>
        <v>8783</v>
      </c>
      <c r="I540" s="18">
        <f>85.31</f>
        <v>85.31</v>
      </c>
      <c r="J540" s="18"/>
      <c r="K540" s="18"/>
      <c r="L540" s="88">
        <f>SUM(F540:K540)</f>
        <v>19034.16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>
        <f>6047.25</f>
        <v>6047.25</v>
      </c>
      <c r="G541" s="18">
        <f>466.77+31.26+6.97</f>
        <v>505</v>
      </c>
      <c r="H541" s="18">
        <f>1596.38+2391.89</f>
        <v>3988.27</v>
      </c>
      <c r="I541" s="18">
        <f>118.65+4738.19</f>
        <v>4856.8399999999992</v>
      </c>
      <c r="J541" s="18"/>
      <c r="K541" s="18"/>
      <c r="L541" s="88">
        <f>SUM(F541:K541)</f>
        <v>15397.36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11729.85</v>
      </c>
      <c r="G543" s="193">
        <f t="shared" ref="G543:L543" si="40">SUM(G540:G542)</f>
        <v>4988.25</v>
      </c>
      <c r="H543" s="193">
        <f t="shared" si="40"/>
        <v>12771.27</v>
      </c>
      <c r="I543" s="193">
        <f t="shared" si="40"/>
        <v>4942.1499999999996</v>
      </c>
      <c r="J543" s="193">
        <f t="shared" si="40"/>
        <v>0</v>
      </c>
      <c r="K543" s="193">
        <f t="shared" si="40"/>
        <v>0</v>
      </c>
      <c r="L543" s="193">
        <f t="shared" si="40"/>
        <v>34431.520000000004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573421.94000000006</v>
      </c>
      <c r="G544" s="89">
        <f t="shared" ref="G544:L544" si="41">G523+G528+G533+G538+G543</f>
        <v>228526.42</v>
      </c>
      <c r="H544" s="89">
        <f t="shared" si="41"/>
        <v>579732.47</v>
      </c>
      <c r="I544" s="89">
        <f t="shared" si="41"/>
        <v>9275.7000000000007</v>
      </c>
      <c r="J544" s="89">
        <f t="shared" si="41"/>
        <v>2994.58</v>
      </c>
      <c r="K544" s="89">
        <f t="shared" si="41"/>
        <v>1514.95</v>
      </c>
      <c r="L544" s="89">
        <f t="shared" si="41"/>
        <v>1395466.06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465652.57</v>
      </c>
      <c r="G548" s="87">
        <f>L525</f>
        <v>154370.96</v>
      </c>
      <c r="H548" s="87">
        <f>L530</f>
        <v>32985.94</v>
      </c>
      <c r="I548" s="87">
        <f>L535</f>
        <v>0</v>
      </c>
      <c r="J548" s="87">
        <f>L540</f>
        <v>19034.16</v>
      </c>
      <c r="K548" s="87">
        <f>SUM(F548:J548)</f>
        <v>672043.63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229535.45</v>
      </c>
      <c r="G549" s="87">
        <f>L526</f>
        <v>22870.559999999998</v>
      </c>
      <c r="H549" s="87">
        <f>L531</f>
        <v>19308.84</v>
      </c>
      <c r="I549" s="87">
        <f>L536</f>
        <v>0</v>
      </c>
      <c r="J549" s="87">
        <f>L541</f>
        <v>15397.36</v>
      </c>
      <c r="K549" s="87">
        <f>SUM(F549:J549)</f>
        <v>287112.21000000002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383783.25999999995</v>
      </c>
      <c r="G550" s="87">
        <f>L527</f>
        <v>24368.23</v>
      </c>
      <c r="H550" s="87">
        <f>L532</f>
        <v>28158.73</v>
      </c>
      <c r="I550" s="87">
        <f>L537</f>
        <v>0</v>
      </c>
      <c r="J550" s="87">
        <f>L542</f>
        <v>0</v>
      </c>
      <c r="K550" s="87">
        <f>SUM(F550:J550)</f>
        <v>436310.21999999991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1078971.28</v>
      </c>
      <c r="G551" s="89">
        <f t="shared" si="42"/>
        <v>201609.75</v>
      </c>
      <c r="H551" s="89">
        <f t="shared" si="42"/>
        <v>80453.509999999995</v>
      </c>
      <c r="I551" s="89">
        <f t="shared" si="42"/>
        <v>0</v>
      </c>
      <c r="J551" s="89">
        <f t="shared" si="42"/>
        <v>34431.520000000004</v>
      </c>
      <c r="K551" s="89">
        <f t="shared" si="42"/>
        <v>1395466.06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f>2000</f>
        <v>2000</v>
      </c>
      <c r="G566" s="18">
        <f>136.31+52.8+158.2</f>
        <v>347.31</v>
      </c>
      <c r="H566" s="18"/>
      <c r="I566" s="18">
        <f>610.94</f>
        <v>610.94000000000005</v>
      </c>
      <c r="J566" s="18"/>
      <c r="K566" s="18">
        <f>285</f>
        <v>285</v>
      </c>
      <c r="L566" s="88">
        <f>SUM(F566:K566)</f>
        <v>3243.25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>
        <f>260</f>
        <v>260</v>
      </c>
      <c r="L567" s="88">
        <f>SUM(F567:K567)</f>
        <v>260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2000</v>
      </c>
      <c r="G569" s="193">
        <f t="shared" ref="G569:L569" si="45">SUM(G566:G568)</f>
        <v>347.31</v>
      </c>
      <c r="H569" s="193">
        <f t="shared" si="45"/>
        <v>0</v>
      </c>
      <c r="I569" s="193">
        <f t="shared" si="45"/>
        <v>610.94000000000005</v>
      </c>
      <c r="J569" s="193">
        <f t="shared" si="45"/>
        <v>0</v>
      </c>
      <c r="K569" s="193">
        <f t="shared" si="45"/>
        <v>545</v>
      </c>
      <c r="L569" s="193">
        <f t="shared" si="45"/>
        <v>3503.25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2000</v>
      </c>
      <c r="G570" s="89">
        <f t="shared" ref="G570:L570" si="46">G559+G564+G569</f>
        <v>347.31</v>
      </c>
      <c r="H570" s="89">
        <f t="shared" si="46"/>
        <v>0</v>
      </c>
      <c r="I570" s="89">
        <f t="shared" si="46"/>
        <v>610.94000000000005</v>
      </c>
      <c r="J570" s="89">
        <f t="shared" si="46"/>
        <v>0</v>
      </c>
      <c r="K570" s="89">
        <f t="shared" si="46"/>
        <v>545</v>
      </c>
      <c r="L570" s="89">
        <f t="shared" si="46"/>
        <v>3503.25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17245.79</v>
      </c>
      <c r="I574" s="87">
        <f>SUM(F574:H574)</f>
        <v>17245.79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f>36949.09</f>
        <v>36949.089999999997</v>
      </c>
      <c r="G578" s="18">
        <f>25927.83</f>
        <v>25927.83</v>
      </c>
      <c r="H578" s="18">
        <f>13447.93</f>
        <v>13447.93</v>
      </c>
      <c r="I578" s="87">
        <f t="shared" si="47"/>
        <v>76324.850000000006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f>54223.36</f>
        <v>54223.360000000001</v>
      </c>
      <c r="G581" s="18"/>
      <c r="H581" s="18">
        <f>42430.08</f>
        <v>42430.080000000002</v>
      </c>
      <c r="I581" s="87">
        <f t="shared" si="47"/>
        <v>96653.440000000002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f>79438.6</f>
        <v>79438.600000000006</v>
      </c>
      <c r="G582" s="18"/>
      <c r="H582" s="18">
        <f>116688</f>
        <v>116688</v>
      </c>
      <c r="I582" s="87">
        <f t="shared" si="47"/>
        <v>196126.6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13382.68</v>
      </c>
      <c r="I583" s="87">
        <f t="shared" si="47"/>
        <v>13382.68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4474.25+8.8+342.33+23.13+5.16+1201.61+30258.4+186.29+3820.62+8006.74</f>
        <v>48327.33</v>
      </c>
      <c r="I590" s="18">
        <f>2131.25+163.01+18662.2+45.35+808.82</f>
        <v>21810.629999999997</v>
      </c>
      <c r="J590" s="18">
        <f>11.02+2.46+25830.4+59.43</f>
        <v>25903.31</v>
      </c>
      <c r="K590" s="104">
        <f t="shared" ref="K590:K596" si="48">SUM(H590:J590)</f>
        <v>96041.26999999999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5682.6+3448.68+118.85+379.74+500.06+29.37+6.55+8783+85.31</f>
        <v>19034.16</v>
      </c>
      <c r="I591" s="18">
        <f>6047.25+466.77+31.26+6.97+1596.38+2391.89+118.65+4738.19</f>
        <v>15397.36</v>
      </c>
      <c r="J591" s="18"/>
      <c r="K591" s="104">
        <f t="shared" si="48"/>
        <v>34431.520000000004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f>44689.97</f>
        <v>44689.97</v>
      </c>
      <c r="K592" s="104">
        <f t="shared" si="48"/>
        <v>44689.97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f>6040.3</f>
        <v>6040.3</v>
      </c>
      <c r="J593" s="18">
        <f>1355.75+146.85+5.2+101.57+20.81+13417.8</f>
        <v>15047.98</v>
      </c>
      <c r="K593" s="104">
        <f t="shared" si="48"/>
        <v>21088.28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f>1200+200+700+245+375+400+100</f>
        <v>3220</v>
      </c>
      <c r="I594" s="18">
        <f>9732.16</f>
        <v>9732.16</v>
      </c>
      <c r="J594" s="18">
        <f>200+983.1+60+1055.8</f>
        <v>2298.8999999999996</v>
      </c>
      <c r="K594" s="104">
        <f t="shared" si="48"/>
        <v>15251.06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70581.490000000005</v>
      </c>
      <c r="I597" s="108">
        <f>SUM(I590:I596)</f>
        <v>52980.45</v>
      </c>
      <c r="J597" s="108">
        <f>SUM(J590:J596)</f>
        <v>87940.159999999989</v>
      </c>
      <c r="K597" s="108">
        <f>SUM(K590:K596)</f>
        <v>211502.1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4993.77+122.35+185.53+2740.22+874.11+1604.95+410+8006.74</f>
        <v>18937.670000000002</v>
      </c>
      <c r="I603" s="18">
        <f>4452.68+185.53+1428.94+569.94+433.95+240</f>
        <v>7311.04</v>
      </c>
      <c r="J603" s="18">
        <f>42770.18+399.38+3133+851.07+433.95+2706.42</f>
        <v>50293.999999999993</v>
      </c>
      <c r="K603" s="104">
        <f>SUM(H603:J603)</f>
        <v>76542.709999999992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18937.670000000002</v>
      </c>
      <c r="I604" s="108">
        <f>SUM(I601:I603)</f>
        <v>7311.04</v>
      </c>
      <c r="J604" s="108">
        <f>SUM(J601:J603)</f>
        <v>50293.999999999993</v>
      </c>
      <c r="K604" s="108">
        <f>SUM(K601:K603)</f>
        <v>76542.709999999992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f>12424.5+1361.2</f>
        <v>13785.7</v>
      </c>
      <c r="G610" s="18">
        <f>930.28+146.81+931.55+98.55+146.89+7.04+1.57</f>
        <v>2262.69</v>
      </c>
      <c r="H610" s="18"/>
      <c r="I610" s="18">
        <f>178.88</f>
        <v>178.88</v>
      </c>
      <c r="J610" s="18"/>
      <c r="K610" s="18"/>
      <c r="L610" s="88">
        <f>SUM(F610:K610)</f>
        <v>16227.27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f>3400+3155</f>
        <v>6555</v>
      </c>
      <c r="G611" s="18">
        <f>254.15+384.2+240+168.96+31.07+16.31+3.64</f>
        <v>1098.33</v>
      </c>
      <c r="H611" s="18"/>
      <c r="I611" s="18"/>
      <c r="J611" s="18"/>
      <c r="K611" s="18"/>
      <c r="L611" s="88">
        <f>SUM(F611:K611)</f>
        <v>7653.33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f>3196.5+3100</f>
        <v>6296.5</v>
      </c>
      <c r="G612" s="18">
        <f>239.68+17.29+339+237.01+140.8+169.5+16.02+3.57</f>
        <v>1162.8699999999999</v>
      </c>
      <c r="H612" s="18"/>
      <c r="I612" s="18">
        <v>303.72000000000003</v>
      </c>
      <c r="J612" s="18"/>
      <c r="K612" s="18"/>
      <c r="L612" s="88">
        <f>SUM(F612:K612)</f>
        <v>7763.09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26637.200000000001</v>
      </c>
      <c r="G613" s="108">
        <f t="shared" si="49"/>
        <v>4523.8899999999994</v>
      </c>
      <c r="H613" s="108">
        <f t="shared" si="49"/>
        <v>0</v>
      </c>
      <c r="I613" s="108">
        <f t="shared" si="49"/>
        <v>482.6</v>
      </c>
      <c r="J613" s="108">
        <f t="shared" si="49"/>
        <v>0</v>
      </c>
      <c r="K613" s="108">
        <f t="shared" si="49"/>
        <v>0</v>
      </c>
      <c r="L613" s="89">
        <f t="shared" si="49"/>
        <v>31643.69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1281049.19</v>
      </c>
      <c r="H616" s="109">
        <f>SUM(F51)</f>
        <v>1281049.19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16128.54</v>
      </c>
      <c r="H617" s="109">
        <f>SUM(G51)</f>
        <v>16128.54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157530.01</v>
      </c>
      <c r="H618" s="109">
        <f>SUM(H51)</f>
        <v>157530.01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176998.59</v>
      </c>
      <c r="H620" s="109">
        <f>SUM(J51)</f>
        <v>176998.59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713452.86999999988</v>
      </c>
      <c r="H621" s="109">
        <f>F475</f>
        <v>713452.87000000011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9043.67</v>
      </c>
      <c r="H622" s="109">
        <f>G475</f>
        <v>9043.6700000000128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-23973.309999999998</v>
      </c>
      <c r="H623" s="109">
        <f>H475</f>
        <v>-23973.310000000027</v>
      </c>
      <c r="I623" s="121" t="s">
        <v>103</v>
      </c>
      <c r="J623" s="109">
        <f t="shared" si="50"/>
        <v>2.9103830456733704E-11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-4500</v>
      </c>
      <c r="H624" s="109">
        <f>I475</f>
        <v>-4500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176998.59</v>
      </c>
      <c r="H625" s="109">
        <f>J475</f>
        <v>176998.59000000003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6737505.9000000004</v>
      </c>
      <c r="H626" s="104">
        <f>SUM(F467)</f>
        <v>6737505.9000000004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180315.33</v>
      </c>
      <c r="H627" s="104">
        <f>SUM(G467)</f>
        <v>180315.33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208466.83</v>
      </c>
      <c r="H628" s="104">
        <f>SUM(H467)</f>
        <v>208466.83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37644.800000000003</v>
      </c>
      <c r="H629" s="104">
        <f>SUM(I467)</f>
        <v>37644.800000000003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100043.76</v>
      </c>
      <c r="H630" s="104">
        <f>SUM(J467)</f>
        <v>100043.76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6335712.790000001</v>
      </c>
      <c r="H631" s="104">
        <f>SUM(F471)</f>
        <v>6335712.79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273010.39999999997</v>
      </c>
      <c r="H632" s="104">
        <f>SUM(H471)</f>
        <v>273010.40000000002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2081.09</v>
      </c>
      <c r="H633" s="104">
        <f>I368</f>
        <v>2081.09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180315.33</v>
      </c>
      <c r="H634" s="104">
        <f>SUM(G471)</f>
        <v>180315.33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37644.800000000003</v>
      </c>
      <c r="H635" s="104">
        <f>SUM(I471)</f>
        <v>37644.800000000003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100043.76000000001</v>
      </c>
      <c r="H636" s="164">
        <f>SUM(J467)</f>
        <v>100043.76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35137.360000000001</v>
      </c>
      <c r="H637" s="164">
        <f>SUM(J471)</f>
        <v>35137.360000000001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176998.59</v>
      </c>
      <c r="H639" s="104">
        <f>SUM(G460)</f>
        <v>176998.59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176998.59</v>
      </c>
      <c r="H641" s="104">
        <f>SUM(I460)</f>
        <v>176998.59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43.76</v>
      </c>
      <c r="H643" s="104">
        <f>H407</f>
        <v>43.760000000000005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100000</v>
      </c>
      <c r="H644" s="104">
        <f>G407</f>
        <v>100000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100043.76</v>
      </c>
      <c r="H645" s="104">
        <f>L407</f>
        <v>100043.76000000001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211502.1</v>
      </c>
      <c r="H646" s="104">
        <f>L207+L225+L243</f>
        <v>211502.1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76542.709999999992</v>
      </c>
      <c r="H647" s="104">
        <f>(J256+J337)-(J254+J335)</f>
        <v>76542.710000000006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70581.490000000005</v>
      </c>
      <c r="H648" s="104">
        <f>H597</f>
        <v>70581.490000000005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52980.450000000004</v>
      </c>
      <c r="H649" s="104">
        <f>I597</f>
        <v>52980.45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87940.160000000003</v>
      </c>
      <c r="H650" s="104">
        <f>J597</f>
        <v>87940.159999999989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20380.46</v>
      </c>
      <c r="H651" s="104">
        <f>K262+K344</f>
        <v>20380.46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100000</v>
      </c>
      <c r="H654" s="104">
        <f>K265+K346</f>
        <v>100000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2651126.9000000004</v>
      </c>
      <c r="G659" s="19">
        <f>(L228+L308+L358)</f>
        <v>1482520.6300000001</v>
      </c>
      <c r="H659" s="19">
        <f>(L246+L327+L359)</f>
        <v>2343374.5500000003</v>
      </c>
      <c r="I659" s="19">
        <f>SUM(F659:H659)</f>
        <v>6477022.0800000001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24829.761731100731</v>
      </c>
      <c r="G660" s="19">
        <f>(L358/IF(SUM(L357:L359)=0,1,SUM(L357:L359))*(SUM(G96:G109)))</f>
        <v>16019.506102825531</v>
      </c>
      <c r="H660" s="19">
        <f>(L359/IF(SUM(L357:L359)=0,1,SUM(L357:L359))*(SUM(G96:G109)))</f>
        <v>23361.77216607373</v>
      </c>
      <c r="I660" s="19">
        <f>SUM(F660:H660)</f>
        <v>64211.039999999994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62574.750000000007</v>
      </c>
      <c r="G661" s="19">
        <f>(L225+L305)-(J225+J305)</f>
        <v>52980.450000000004</v>
      </c>
      <c r="H661" s="19">
        <f>(L243+L324)-(J243+J324)</f>
        <v>88223.39</v>
      </c>
      <c r="I661" s="19">
        <f>SUM(F661:H661)</f>
        <v>203778.59000000003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205775.99</v>
      </c>
      <c r="G662" s="199">
        <f>SUM(G574:G586)+SUM(I601:I603)+L611</f>
        <v>40892.200000000004</v>
      </c>
      <c r="H662" s="199">
        <f>SUM(H574:H586)+SUM(J601:J603)+L612</f>
        <v>261251.56999999998</v>
      </c>
      <c r="I662" s="19">
        <f>SUM(F662:H662)</f>
        <v>507919.76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2357946.3982688999</v>
      </c>
      <c r="G663" s="19">
        <f>G659-SUM(G660:G662)</f>
        <v>1372628.4738971745</v>
      </c>
      <c r="H663" s="19">
        <f>H659-SUM(H660:H662)</f>
        <v>1970537.8178339265</v>
      </c>
      <c r="I663" s="19">
        <f>I659-SUM(I660:I662)</f>
        <v>5701112.6900000004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146.53</v>
      </c>
      <c r="G664" s="248">
        <v>82.44</v>
      </c>
      <c r="H664" s="248">
        <v>101.41</v>
      </c>
      <c r="I664" s="19">
        <f>SUM(F664:H664)</f>
        <v>330.38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16091.9</v>
      </c>
      <c r="G666" s="19">
        <f>ROUND(G663/G664,2)</f>
        <v>16650.03</v>
      </c>
      <c r="H666" s="19">
        <f>ROUND(H663/H664,2)</f>
        <v>19431.400000000001</v>
      </c>
      <c r="I666" s="19">
        <f>ROUND(I663/I664,2)</f>
        <v>17256.23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-2.31</v>
      </c>
      <c r="I669" s="19">
        <f>SUM(F669:H669)</f>
        <v>-2.31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16091.9</v>
      </c>
      <c r="G671" s="19">
        <f>ROUND((G663+G668)/(G664+G669),2)</f>
        <v>16650.03</v>
      </c>
      <c r="H671" s="19">
        <f>ROUND((H663+H668)/(H664+H669),2)</f>
        <v>19884.34</v>
      </c>
      <c r="I671" s="19">
        <f>ROUND((I663+I668)/(I664+I669),2)</f>
        <v>17377.73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/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Lincoln-Woodstock Coopeartive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9" t="s">
        <v>784</v>
      </c>
      <c r="B3" s="279"/>
      <c r="C3" s="279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8" t="s">
        <v>783</v>
      </c>
      <c r="C6" s="278"/>
    </row>
    <row r="7" spans="1:3" x14ac:dyDescent="0.2">
      <c r="A7" s="239" t="s">
        <v>786</v>
      </c>
      <c r="B7" s="276" t="s">
        <v>782</v>
      </c>
      <c r="C7" s="277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1942908.7599999998</v>
      </c>
      <c r="C9" s="229">
        <f>'DOE25'!G196+'DOE25'!G214+'DOE25'!G232+'DOE25'!G275+'DOE25'!G294+'DOE25'!G313</f>
        <v>762530.52</v>
      </c>
    </row>
    <row r="10" spans="1:3" x14ac:dyDescent="0.2">
      <c r="A10" t="s">
        <v>779</v>
      </c>
      <c r="B10" s="240">
        <f>748371.82+441941.4+623712.26+62844</f>
        <v>1876869.48</v>
      </c>
      <c r="C10" s="240">
        <f>174209.44+4915.59+544+463.84+54749.95+66+84491.46+3878.59+864.84+101126.45+3216.48+268.8+279.9+33022.79+149.6+49264.03+2297.27+512.24+110124.42+3573.03+502.4+393.26+48732.22+110+64149.12+3262.66+727.5+6300+361.71+4591.67+5381.26-5052</f>
        <v>757478.52000000014</v>
      </c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>
        <f>21897.95+9580+34561.33</f>
        <v>66039.28</v>
      </c>
      <c r="C12" s="240">
        <v>5052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1942908.76</v>
      </c>
      <c r="C13" s="231">
        <f>SUM(C10:C12)</f>
        <v>762530.52000000014</v>
      </c>
    </row>
    <row r="14" spans="1:3" x14ac:dyDescent="0.2">
      <c r="B14" s="230"/>
      <c r="C14" s="230"/>
    </row>
    <row r="15" spans="1:3" x14ac:dyDescent="0.2">
      <c r="B15" s="278" t="s">
        <v>783</v>
      </c>
      <c r="C15" s="278"/>
    </row>
    <row r="16" spans="1:3" x14ac:dyDescent="0.2">
      <c r="A16" s="239" t="s">
        <v>787</v>
      </c>
      <c r="B16" s="276" t="s">
        <v>707</v>
      </c>
      <c r="C16" s="277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480823.53</v>
      </c>
      <c r="C18" s="229">
        <f>'DOE25'!G197+'DOE25'!G215+'DOE25'!G233+'DOE25'!G276+'DOE25'!G295+'DOE25'!G314</f>
        <v>192335.56</v>
      </c>
    </row>
    <row r="19" spans="1:3" x14ac:dyDescent="0.2">
      <c r="A19" t="s">
        <v>779</v>
      </c>
      <c r="B19" s="240">
        <f>163404.85+100656.2+148293.9+1361.2+3155+3100+2000-125997</f>
        <v>295974.14999999997</v>
      </c>
      <c r="C19" s="240">
        <f>53610+1412.5+145.44+12050.28+14116.35+844.62+188.33+35310+1068.02+92.96+6959.65+6425.62+520.28+116.01+17600+1085.13+129.6+11691.21+9550.49+792.36+176.68+98.55+146.89+7.04+1.57+240+168.96+31.07+16.31+3.64+237.01+140.8+169.5+16.02+3.57+136.31+52.8+158.2-50400-20726.51-992.16</f>
        <v>103395.10000000002</v>
      </c>
    </row>
    <row r="20" spans="1:3" x14ac:dyDescent="0.2">
      <c r="A20" t="s">
        <v>780</v>
      </c>
      <c r="B20" s="240">
        <f>17525+27249.2+1108.8+125997</f>
        <v>171880</v>
      </c>
      <c r="C20" s="240">
        <f>1178.94+1543+2192.83+2497+84.82+1705.42+3023.19+4596.59+50400+20726.51</f>
        <v>87948.3</v>
      </c>
    </row>
    <row r="21" spans="1:3" x14ac:dyDescent="0.2">
      <c r="A21" t="s">
        <v>781</v>
      </c>
      <c r="B21" s="240">
        <f>5604.38+4795+2570</f>
        <v>12969.380000000001</v>
      </c>
      <c r="C21" s="240">
        <v>992.16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480823.52999999997</v>
      </c>
      <c r="C22" s="231">
        <f>SUM(C19:C21)</f>
        <v>192335.56000000003</v>
      </c>
    </row>
    <row r="23" spans="1:3" x14ac:dyDescent="0.2">
      <c r="B23" s="230"/>
      <c r="C23" s="230"/>
    </row>
    <row r="24" spans="1:3" x14ac:dyDescent="0.2">
      <c r="B24" s="278" t="s">
        <v>783</v>
      </c>
      <c r="C24" s="278"/>
    </row>
    <row r="25" spans="1:3" x14ac:dyDescent="0.2">
      <c r="A25" s="239" t="s">
        <v>788</v>
      </c>
      <c r="B25" s="276" t="s">
        <v>708</v>
      </c>
      <c r="C25" s="277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5000</v>
      </c>
      <c r="C27" s="234">
        <f>'DOE25'!G198+'DOE25'!G216+'DOE25'!G234+'DOE25'!G277+'DOE25'!G296+'DOE25'!G315</f>
        <v>640.57000000000005</v>
      </c>
    </row>
    <row r="28" spans="1:3" x14ac:dyDescent="0.2">
      <c r="A28" t="s">
        <v>779</v>
      </c>
      <c r="B28" s="240">
        <v>5000</v>
      </c>
      <c r="C28" s="240">
        <f>253.25+355.72+25.84+5.76</f>
        <v>640.57000000000005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5000</v>
      </c>
      <c r="C31" s="231">
        <f>SUM(C28:C30)</f>
        <v>640.57000000000005</v>
      </c>
    </row>
    <row r="33" spans="1:3" x14ac:dyDescent="0.2">
      <c r="B33" s="278" t="s">
        <v>783</v>
      </c>
      <c r="C33" s="278"/>
    </row>
    <row r="34" spans="1:3" x14ac:dyDescent="0.2">
      <c r="A34" s="239" t="s">
        <v>789</v>
      </c>
      <c r="B34" s="276" t="s">
        <v>709</v>
      </c>
      <c r="C34" s="277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64360.5</v>
      </c>
      <c r="C36" s="235">
        <f>'DOE25'!G199+'DOE25'!G217+'DOE25'!G235+'DOE25'!G278+'DOE25'!G297+'DOE25'!G316</f>
        <v>10574.07</v>
      </c>
    </row>
    <row r="37" spans="1:3" x14ac:dyDescent="0.2">
      <c r="A37" t="s">
        <v>779</v>
      </c>
      <c r="B37" s="240">
        <f>12424.5+3400+3196.5+2340</f>
        <v>21361</v>
      </c>
      <c r="C37" s="240">
        <f>930.28+148.61+931.55+254.15+384.2+239.68+17.29+339+178.52+264.41</f>
        <v>3687.6899999999991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f>814+10149+32036.5</f>
        <v>42999.5</v>
      </c>
      <c r="C39" s="240">
        <f>57.5+91.98+775.31+366.01+56.67+12.64+722.9+1.85+2550.94+209.13+1588.94+165.59+36.92+250</f>
        <v>6886.380000000001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64360.5</v>
      </c>
      <c r="C40" s="231">
        <f>SUM(C37:C39)</f>
        <v>10574.07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790</v>
      </c>
      <c r="B1" s="283"/>
      <c r="C1" s="283"/>
      <c r="D1" s="283"/>
      <c r="E1" s="283"/>
      <c r="F1" s="283"/>
      <c r="G1" s="283"/>
      <c r="H1" s="283"/>
      <c r="I1" s="181"/>
    </row>
    <row r="2" spans="1:9" x14ac:dyDescent="0.2">
      <c r="A2" s="33" t="s">
        <v>717</v>
      </c>
      <c r="B2" s="265" t="str">
        <f>'DOE25'!A2</f>
        <v>Lincoln-Woodstock Coopeartive School District</v>
      </c>
      <c r="C2" s="181"/>
      <c r="D2" s="181" t="s">
        <v>792</v>
      </c>
      <c r="E2" s="181" t="s">
        <v>794</v>
      </c>
      <c r="F2" s="280" t="s">
        <v>821</v>
      </c>
      <c r="G2" s="281"/>
      <c r="H2" s="282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3977089.83</v>
      </c>
      <c r="D5" s="20">
        <f>SUM('DOE25'!L196:L199)+SUM('DOE25'!L214:L217)+SUM('DOE25'!L232:L235)-F5-G5</f>
        <v>3912454.1700000004</v>
      </c>
      <c r="E5" s="243"/>
      <c r="F5" s="255">
        <f>SUM('DOE25'!J196:J199)+SUM('DOE25'!J214:J217)+SUM('DOE25'!J232:J235)</f>
        <v>52738.36</v>
      </c>
      <c r="G5" s="53">
        <f>SUM('DOE25'!K196:K199)+SUM('DOE25'!K214:K217)+SUM('DOE25'!K232:K235)</f>
        <v>11897.3</v>
      </c>
      <c r="H5" s="259"/>
    </row>
    <row r="6" spans="1:9" x14ac:dyDescent="0.2">
      <c r="A6" s="32">
        <v>2100</v>
      </c>
      <c r="B6" t="s">
        <v>801</v>
      </c>
      <c r="C6" s="245">
        <f t="shared" si="0"/>
        <v>486230.71</v>
      </c>
      <c r="D6" s="20">
        <f>'DOE25'!L201+'DOE25'!L219+'DOE25'!L237-F6-G6</f>
        <v>485006.71</v>
      </c>
      <c r="E6" s="243"/>
      <c r="F6" s="255">
        <f>'DOE25'!J201+'DOE25'!J219+'DOE25'!J237</f>
        <v>0</v>
      </c>
      <c r="G6" s="53">
        <f>'DOE25'!K201+'DOE25'!K219+'DOE25'!K237</f>
        <v>1224</v>
      </c>
      <c r="H6" s="259"/>
    </row>
    <row r="7" spans="1:9" x14ac:dyDescent="0.2">
      <c r="A7" s="32">
        <v>2200</v>
      </c>
      <c r="B7" t="s">
        <v>834</v>
      </c>
      <c r="C7" s="245">
        <f t="shared" si="0"/>
        <v>176787.66999999998</v>
      </c>
      <c r="D7" s="20">
        <f>'DOE25'!L202+'DOE25'!L220+'DOE25'!L238-F7-G7</f>
        <v>176416.61</v>
      </c>
      <c r="E7" s="243"/>
      <c r="F7" s="255">
        <f>'DOE25'!J202+'DOE25'!J220+'DOE25'!J238</f>
        <v>371.06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311946.23000000004</v>
      </c>
      <c r="D8" s="243"/>
      <c r="E8" s="20">
        <f>'DOE25'!L203+'DOE25'!L221+'DOE25'!L239-F8-G8-D9-D11</f>
        <v>305801.79000000004</v>
      </c>
      <c r="F8" s="255">
        <f>'DOE25'!J203+'DOE25'!J221+'DOE25'!J239</f>
        <v>0</v>
      </c>
      <c r="G8" s="53">
        <f>'DOE25'!K203+'DOE25'!K221+'DOE25'!K239</f>
        <v>6144.4400000000005</v>
      </c>
      <c r="H8" s="259"/>
    </row>
    <row r="9" spans="1:9" x14ac:dyDescent="0.2">
      <c r="A9" s="32">
        <v>2310</v>
      </c>
      <c r="B9" t="s">
        <v>818</v>
      </c>
      <c r="C9" s="245">
        <f t="shared" si="0"/>
        <v>13854.82</v>
      </c>
      <c r="D9" s="244">
        <f>12869.74+985.08</f>
        <v>13854.82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8500</v>
      </c>
      <c r="D10" s="243"/>
      <c r="E10" s="244">
        <v>8500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151288.87</v>
      </c>
      <c r="D11" s="244">
        <f>111198.97+40089.9</f>
        <v>151288.87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340133.9</v>
      </c>
      <c r="D12" s="20">
        <f>'DOE25'!L204+'DOE25'!L222+'DOE25'!L240-F12-G12</f>
        <v>327597.49000000005</v>
      </c>
      <c r="E12" s="243"/>
      <c r="F12" s="255">
        <f>'DOE25'!J204+'DOE25'!J222+'DOE25'!J240</f>
        <v>7302.16</v>
      </c>
      <c r="G12" s="53">
        <f>'DOE25'!K204+'DOE25'!K222+'DOE25'!K240</f>
        <v>5234.25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415413.8</v>
      </c>
      <c r="D14" s="20">
        <f>'DOE25'!L206+'DOE25'!L224+'DOE25'!L242-F14-G14</f>
        <v>394262.57</v>
      </c>
      <c r="E14" s="243"/>
      <c r="F14" s="255">
        <f>'DOE25'!J206+'DOE25'!J224+'DOE25'!J242</f>
        <v>2295.1200000000003</v>
      </c>
      <c r="G14" s="53">
        <f>'DOE25'!K206+'DOE25'!K224+'DOE25'!K242</f>
        <v>18856.11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211502.1</v>
      </c>
      <c r="D15" s="20">
        <f>'DOE25'!L207+'DOE25'!L225+'DOE25'!L243-F15-G15</f>
        <v>203495.36000000002</v>
      </c>
      <c r="E15" s="243"/>
      <c r="F15" s="255">
        <f>'DOE25'!J207+'DOE25'!J225+'DOE25'!J243</f>
        <v>8006.74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1266</v>
      </c>
      <c r="D16" s="243"/>
      <c r="E16" s="20">
        <f>'DOE25'!L208+'DOE25'!L226+'DOE25'!L244-F16-G16</f>
        <v>1266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74228.399999999994</v>
      </c>
      <c r="D25" s="243"/>
      <c r="E25" s="243"/>
      <c r="F25" s="258"/>
      <c r="G25" s="256"/>
      <c r="H25" s="257">
        <f>'DOE25'!L259+'DOE25'!L260+'DOE25'!L340+'DOE25'!L341</f>
        <v>74228.399999999994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180315.33</v>
      </c>
      <c r="D29" s="20">
        <f>'DOE25'!L357+'DOE25'!L358+'DOE25'!L359-'DOE25'!I366-F29-G29</f>
        <v>187439.33</v>
      </c>
      <c r="E29" s="243"/>
      <c r="F29" s="255">
        <f>'DOE25'!J357+'DOE25'!J358+'DOE25'!J359</f>
        <v>0</v>
      </c>
      <c r="G29" s="53">
        <f>'DOE25'!K357+'DOE25'!K358+'DOE25'!K359</f>
        <v>-7124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211192.81999999998</v>
      </c>
      <c r="D31" s="20">
        <f>'DOE25'!L289+'DOE25'!L308+'DOE25'!L327+'DOE25'!L332+'DOE25'!L333+'DOE25'!L334-F31-G31</f>
        <v>199309.33</v>
      </c>
      <c r="E31" s="243"/>
      <c r="F31" s="255">
        <f>'DOE25'!J289+'DOE25'!J308+'DOE25'!J327+'DOE25'!J332+'DOE25'!J333+'DOE25'!J334</f>
        <v>5829.27</v>
      </c>
      <c r="G31" s="53">
        <f>'DOE25'!K289+'DOE25'!K308+'DOE25'!K327+'DOE25'!K332+'DOE25'!K333+'DOE25'!K334</f>
        <v>6054.22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6051125.2600000026</v>
      </c>
      <c r="E33" s="246">
        <f>SUM(E5:E31)</f>
        <v>315567.79000000004</v>
      </c>
      <c r="F33" s="246">
        <f>SUM(F5:F31)</f>
        <v>76542.710000000006</v>
      </c>
      <c r="G33" s="246">
        <f>SUM(G5:G31)</f>
        <v>42286.32</v>
      </c>
      <c r="H33" s="246">
        <f>SUM(H5:H31)</f>
        <v>74228.399999999994</v>
      </c>
    </row>
    <row r="35" spans="2:8" ht="12" thickBot="1" x14ac:dyDescent="0.25">
      <c r="B35" s="253" t="s">
        <v>847</v>
      </c>
      <c r="D35" s="254">
        <f>E33</f>
        <v>315567.79000000004</v>
      </c>
      <c r="E35" s="249"/>
    </row>
    <row r="36" spans="2:8" ht="12" thickTop="1" x14ac:dyDescent="0.2">
      <c r="B36" t="s">
        <v>815</v>
      </c>
      <c r="D36" s="20">
        <f>D33</f>
        <v>6051125.2600000026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Lincoln-Woodstock Coopeartive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912333.03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176998.59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349913.47</v>
      </c>
      <c r="D11" s="95">
        <f>'DOE25'!G12</f>
        <v>0</v>
      </c>
      <c r="E11" s="95">
        <f>'DOE25'!H12</f>
        <v>39352.26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16128.54</v>
      </c>
      <c r="E12" s="95">
        <f>'DOE25'!H13</f>
        <v>118177.75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18802.689999999999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1281049.19</v>
      </c>
      <c r="D18" s="41">
        <f>SUM(D8:D17)</f>
        <v>16128.54</v>
      </c>
      <c r="E18" s="41">
        <f>SUM(E8:E17)</f>
        <v>157530.01</v>
      </c>
      <c r="F18" s="41">
        <f>SUM(F8:F17)</f>
        <v>0</v>
      </c>
      <c r="G18" s="41">
        <f>SUM(G8:G17)</f>
        <v>176998.59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299929.56</v>
      </c>
      <c r="D21" s="95">
        <f>'DOE25'!G22</f>
        <v>2684.87</v>
      </c>
      <c r="E21" s="95">
        <f>'DOE25'!H22</f>
        <v>181183.39</v>
      </c>
      <c r="F21" s="95">
        <f>'DOE25'!I22</f>
        <v>4500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59640.93</v>
      </c>
      <c r="D23" s="95">
        <f>'DOE25'!G24</f>
        <v>4400</v>
      </c>
      <c r="E23" s="95">
        <f>'DOE25'!H24</f>
        <v>319.93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208025.83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567596.31999999995</v>
      </c>
      <c r="D31" s="41">
        <f>SUM(D21:D30)</f>
        <v>7084.87</v>
      </c>
      <c r="E31" s="41">
        <f>SUM(E21:E30)</f>
        <v>181503.32</v>
      </c>
      <c r="F31" s="41">
        <f>SUM(F21:F30)</f>
        <v>4500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9043.67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161820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-26307.289999999997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176998.59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23953.43</v>
      </c>
      <c r="D47" s="95">
        <f>'DOE25'!G48</f>
        <v>0</v>
      </c>
      <c r="E47" s="95">
        <f>'DOE25'!H48</f>
        <v>2333.9799999999996</v>
      </c>
      <c r="F47" s="95">
        <f>'DOE25'!I48</f>
        <v>-4500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527679.43999999994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713452.86999999988</v>
      </c>
      <c r="D49" s="41">
        <f>SUM(D34:D48)</f>
        <v>9043.67</v>
      </c>
      <c r="E49" s="41">
        <f>SUM(E34:E48)</f>
        <v>-23973.309999999998</v>
      </c>
      <c r="F49" s="41">
        <f>SUM(F34:F48)</f>
        <v>-4500</v>
      </c>
      <c r="G49" s="41">
        <f>SUM(G34:G48)</f>
        <v>176998.59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1281049.19</v>
      </c>
      <c r="D50" s="41">
        <f>D49+D31</f>
        <v>16128.54</v>
      </c>
      <c r="E50" s="41">
        <f>E49+E31</f>
        <v>157530.01</v>
      </c>
      <c r="F50" s="41">
        <f>F49+F31</f>
        <v>0</v>
      </c>
      <c r="G50" s="41">
        <f>G49+G31</f>
        <v>176998.59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3612594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215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251.42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43.76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64211.039999999994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31627.909999999996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32094.329999999994</v>
      </c>
      <c r="D61" s="130">
        <f>SUM(D56:D60)</f>
        <v>64211.039999999994</v>
      </c>
      <c r="E61" s="130">
        <f>SUM(E56:E60)</f>
        <v>0</v>
      </c>
      <c r="F61" s="130">
        <f>SUM(F56:F60)</f>
        <v>0</v>
      </c>
      <c r="G61" s="130">
        <f>SUM(G56:G60)</f>
        <v>43.76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3644688.33</v>
      </c>
      <c r="D62" s="22">
        <f>D55+D61</f>
        <v>64211.039999999994</v>
      </c>
      <c r="E62" s="22">
        <f>E55+E61</f>
        <v>0</v>
      </c>
      <c r="F62" s="22">
        <f>F55+F61</f>
        <v>0</v>
      </c>
      <c r="G62" s="22">
        <f>G55+G61</f>
        <v>43.76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354883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2460792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408.32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2816083.32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110949.97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4715.1099999999997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1526.47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115665.08</v>
      </c>
      <c r="D77" s="130">
        <f>SUM(D71:D76)</f>
        <v>1526.47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2931748.4</v>
      </c>
      <c r="D80" s="130">
        <f>SUM(D78:D79)+D77+D69</f>
        <v>1526.47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7124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91649.75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96631.87</v>
      </c>
      <c r="D87" s="95">
        <f>SUM('DOE25'!G152:G160)</f>
        <v>94197.36</v>
      </c>
      <c r="E87" s="95">
        <f>SUM('DOE25'!H152:H160)</f>
        <v>109693.08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64437.3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161069.16999999998</v>
      </c>
      <c r="D90" s="131">
        <f>SUM(D84:D89)</f>
        <v>94197.36</v>
      </c>
      <c r="E90" s="131">
        <f>SUM(E84:E89)</f>
        <v>208466.83000000002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20380.46</v>
      </c>
      <c r="E95" s="95">
        <f>'DOE25'!H178</f>
        <v>0</v>
      </c>
      <c r="F95" s="95">
        <f>'DOE25'!I178</f>
        <v>0</v>
      </c>
      <c r="G95" s="95">
        <f>'DOE25'!J178</f>
        <v>100000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37644.800000000003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20380.46</v>
      </c>
      <c r="E102" s="86">
        <f>SUM(E92:E101)</f>
        <v>0</v>
      </c>
      <c r="F102" s="86">
        <f>SUM(F92:F101)</f>
        <v>37644.800000000003</v>
      </c>
      <c r="G102" s="86">
        <f>SUM(G92:G101)</f>
        <v>100000</v>
      </c>
    </row>
    <row r="103" spans="1:7" ht="12.75" thickTop="1" thickBot="1" x14ac:dyDescent="0.25">
      <c r="A103" s="33" t="s">
        <v>765</v>
      </c>
      <c r="C103" s="86">
        <f>C62+C80+C90+C102</f>
        <v>6737505.9000000004</v>
      </c>
      <c r="D103" s="86">
        <f>D62+D80+D90+D102</f>
        <v>180315.33</v>
      </c>
      <c r="E103" s="86">
        <f>E62+E80+E90+E102</f>
        <v>208466.83000000002</v>
      </c>
      <c r="F103" s="86">
        <f>F62+F80+F90+F102</f>
        <v>37644.800000000003</v>
      </c>
      <c r="G103" s="86">
        <f>G62+G80+G102</f>
        <v>100043.76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2840099.76</v>
      </c>
      <c r="D108" s="24" t="s">
        <v>289</v>
      </c>
      <c r="E108" s="95">
        <f>('DOE25'!L275)+('DOE25'!L294)+('DOE25'!L313)</f>
        <v>100181.18000000001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1005588.78</v>
      </c>
      <c r="D109" s="24" t="s">
        <v>289</v>
      </c>
      <c r="E109" s="95">
        <f>('DOE25'!L276)+('DOE25'!L295)+('DOE25'!L314)</f>
        <v>76885.749999999985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19083.05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112318.23999999999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3977089.83</v>
      </c>
      <c r="D114" s="86">
        <f>SUM(D108:D113)</f>
        <v>0</v>
      </c>
      <c r="E114" s="86">
        <f>SUM(E108:E113)</f>
        <v>177066.93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486230.71</v>
      </c>
      <c r="D117" s="24" t="s">
        <v>289</v>
      </c>
      <c r="E117" s="95">
        <f>+('DOE25'!L280)+('DOE25'!L299)+('DOE25'!L318)</f>
        <v>27131.77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176787.66999999998</v>
      </c>
      <c r="D118" s="24" t="s">
        <v>289</v>
      </c>
      <c r="E118" s="95">
        <f>+('DOE25'!L281)+('DOE25'!L300)+('DOE25'!L319)</f>
        <v>6710.89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477089.92000000004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340133.9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415413.8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211502.1</v>
      </c>
      <c r="D123" s="24" t="s">
        <v>289</v>
      </c>
      <c r="E123" s="95">
        <f>+('DOE25'!L286)+('DOE25'!L305)+('DOE25'!L324)</f>
        <v>283.23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1266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180315.33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2108424.1</v>
      </c>
      <c r="D127" s="86">
        <f>SUM(D117:D126)</f>
        <v>180315.33</v>
      </c>
      <c r="E127" s="86">
        <f>SUM(E117:E126)</f>
        <v>34125.890000000007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37644.800000000003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70684.67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3543.73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61817.58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20380.46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100043.76000000001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-43.760000000009313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55590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250198.86</v>
      </c>
      <c r="D143" s="141">
        <f>SUM(D129:D142)</f>
        <v>0</v>
      </c>
      <c r="E143" s="141">
        <f>SUM(E129:E142)</f>
        <v>61817.58</v>
      </c>
      <c r="F143" s="141">
        <f>SUM(F129:F142)</f>
        <v>37644.800000000003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6335712.79</v>
      </c>
      <c r="D144" s="86">
        <f>(D114+D127+D143)</f>
        <v>180315.33</v>
      </c>
      <c r="E144" s="86">
        <f>(E114+E127+E143)</f>
        <v>273010.40000000002</v>
      </c>
      <c r="F144" s="86">
        <f>(F114+F127+F143)</f>
        <v>37644.800000000003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5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06/10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06/15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500000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1.78E-2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215815.39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215815.39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70649.959999999992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70649.959999999992</v>
      </c>
    </row>
    <row r="158" spans="1:9" x14ac:dyDescent="0.2">
      <c r="A158" s="22" t="s">
        <v>35</v>
      </c>
      <c r="B158" s="137">
        <f>'DOE25'!F497</f>
        <v>145165.43000000002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145165.43000000002</v>
      </c>
    </row>
    <row r="159" spans="1:9" x14ac:dyDescent="0.2">
      <c r="A159" s="22" t="s">
        <v>36</v>
      </c>
      <c r="B159" s="137">
        <f>'DOE25'!F498</f>
        <v>3291.31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3291.31</v>
      </c>
    </row>
    <row r="160" spans="1:9" x14ac:dyDescent="0.2">
      <c r="A160" s="22" t="s">
        <v>37</v>
      </c>
      <c r="B160" s="137">
        <f>'DOE25'!F499</f>
        <v>148456.74000000002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148456.74000000002</v>
      </c>
    </row>
    <row r="161" spans="1:7" x14ac:dyDescent="0.2">
      <c r="A161" s="22" t="s">
        <v>38</v>
      </c>
      <c r="B161" s="137">
        <f>'DOE25'!F500</f>
        <v>71930.739999999991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71930.739999999991</v>
      </c>
    </row>
    <row r="162" spans="1:7" x14ac:dyDescent="0.2">
      <c r="A162" s="22" t="s">
        <v>39</v>
      </c>
      <c r="B162" s="137">
        <f>'DOE25'!F501</f>
        <v>2297.66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2297.66</v>
      </c>
    </row>
    <row r="163" spans="1:7" x14ac:dyDescent="0.2">
      <c r="A163" s="22" t="s">
        <v>246</v>
      </c>
      <c r="B163" s="137">
        <f>'DOE25'!F502</f>
        <v>74228.399999999994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74228.399999999994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740</v>
      </c>
      <c r="B1" s="284"/>
      <c r="C1" s="284"/>
      <c r="D1" s="284"/>
    </row>
    <row r="2" spans="1:4" x14ac:dyDescent="0.2">
      <c r="A2" s="187" t="s">
        <v>717</v>
      </c>
      <c r="B2" s="186" t="str">
        <f>'DOE25'!A2</f>
        <v>Lincoln-Woodstock Coopeartive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16092</v>
      </c>
    </row>
    <row r="5" spans="1:4" x14ac:dyDescent="0.2">
      <c r="B5" t="s">
        <v>704</v>
      </c>
      <c r="C5" s="179">
        <f>IF('DOE25'!G664+'DOE25'!G669=0,0,ROUND('DOE25'!G671,0))</f>
        <v>16650</v>
      </c>
    </row>
    <row r="6" spans="1:4" x14ac:dyDescent="0.2">
      <c r="B6" t="s">
        <v>62</v>
      </c>
      <c r="C6" s="179">
        <f>IF('DOE25'!H664+'DOE25'!H669=0,0,ROUND('DOE25'!H671,0))</f>
        <v>19884</v>
      </c>
    </row>
    <row r="7" spans="1:4" x14ac:dyDescent="0.2">
      <c r="B7" t="s">
        <v>705</v>
      </c>
      <c r="C7" s="179">
        <f>IF('DOE25'!I664+'DOE25'!I669=0,0,ROUND('DOE25'!I671,0))</f>
        <v>17378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2940281</v>
      </c>
      <c r="D10" s="182">
        <f>ROUND((C10/$C$28)*100,1)</f>
        <v>45.4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1082475</v>
      </c>
      <c r="D11" s="182">
        <f>ROUND((C11/$C$28)*100,1)</f>
        <v>16.7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19083</v>
      </c>
      <c r="D12" s="182">
        <f>ROUND((C12/$C$28)*100,1)</f>
        <v>0.3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112318</v>
      </c>
      <c r="D13" s="182">
        <f>ROUND((C13/$C$28)*100,1)</f>
        <v>1.7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513362</v>
      </c>
      <c r="D15" s="182">
        <f t="shared" ref="D15:D27" si="0">ROUND((C15/$C$28)*100,1)</f>
        <v>7.9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183499</v>
      </c>
      <c r="D16" s="182">
        <f t="shared" si="0"/>
        <v>2.8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478356</v>
      </c>
      <c r="D17" s="182">
        <f t="shared" si="0"/>
        <v>7.4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340134</v>
      </c>
      <c r="D18" s="182">
        <f t="shared" si="0"/>
        <v>5.3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415414</v>
      </c>
      <c r="D20" s="182">
        <f t="shared" si="0"/>
        <v>6.4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211785</v>
      </c>
      <c r="D21" s="182">
        <f t="shared" si="0"/>
        <v>3.3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3544</v>
      </c>
      <c r="D25" s="182">
        <f t="shared" si="0"/>
        <v>0.1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55590</v>
      </c>
      <c r="D26" s="182">
        <f t="shared" si="0"/>
        <v>0.9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116103.96</v>
      </c>
      <c r="D27" s="182">
        <f t="shared" si="0"/>
        <v>1.8</v>
      </c>
    </row>
    <row r="28" spans="1:4" x14ac:dyDescent="0.2">
      <c r="B28" s="187" t="s">
        <v>723</v>
      </c>
      <c r="C28" s="180">
        <f>SUM(C10:C27)</f>
        <v>6471944.96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37645</v>
      </c>
    </row>
    <row r="30" spans="1:4" x14ac:dyDescent="0.2">
      <c r="B30" s="187" t="s">
        <v>729</v>
      </c>
      <c r="C30" s="180">
        <f>SUM(C28:C29)</f>
        <v>6509589.96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70685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3612594</v>
      </c>
      <c r="D35" s="182">
        <f t="shared" ref="D35:D40" si="1">ROUND((C35/$C$41)*100,1)</f>
        <v>51.3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32138.089999999851</v>
      </c>
      <c r="D36" s="182">
        <f t="shared" si="1"/>
        <v>0.5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2815675</v>
      </c>
      <c r="D37" s="182">
        <f t="shared" si="1"/>
        <v>40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117600</v>
      </c>
      <c r="D38" s="182">
        <f t="shared" si="1"/>
        <v>1.7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463733</v>
      </c>
      <c r="D39" s="182">
        <f t="shared" si="1"/>
        <v>6.6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7041740.0899999999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5" t="s">
        <v>770</v>
      </c>
      <c r="B1" s="296"/>
      <c r="C1" s="296"/>
      <c r="D1" s="296"/>
      <c r="E1" s="296"/>
      <c r="F1" s="296"/>
      <c r="G1" s="296"/>
      <c r="H1" s="296"/>
      <c r="I1" s="296"/>
      <c r="J1" s="213"/>
      <c r="K1" s="213"/>
      <c r="L1" s="213"/>
      <c r="M1" s="214"/>
    </row>
    <row r="2" spans="1:26" ht="12.75" x14ac:dyDescent="0.2">
      <c r="A2" s="301" t="s">
        <v>767</v>
      </c>
      <c r="B2" s="302"/>
      <c r="C2" s="302"/>
      <c r="D2" s="302"/>
      <c r="E2" s="302"/>
      <c r="F2" s="299" t="str">
        <f>'DOE25'!A2</f>
        <v>Lincoln-Woodstock Coopeartive School District</v>
      </c>
      <c r="G2" s="300"/>
      <c r="H2" s="300"/>
      <c r="I2" s="300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7" t="s">
        <v>771</v>
      </c>
      <c r="D3" s="297"/>
      <c r="E3" s="297"/>
      <c r="F3" s="297"/>
      <c r="G3" s="297"/>
      <c r="H3" s="297"/>
      <c r="I3" s="297"/>
      <c r="J3" s="297"/>
      <c r="K3" s="297"/>
      <c r="L3" s="297"/>
      <c r="M3" s="298"/>
    </row>
    <row r="4" spans="1:26" x14ac:dyDescent="0.2">
      <c r="A4" s="218">
        <v>5</v>
      </c>
      <c r="B4" s="219">
        <v>2</v>
      </c>
      <c r="C4" s="274" t="s">
        <v>910</v>
      </c>
      <c r="D4" s="274"/>
      <c r="E4" s="274"/>
      <c r="F4" s="274"/>
      <c r="G4" s="274"/>
      <c r="H4" s="274"/>
      <c r="I4" s="274"/>
      <c r="J4" s="274"/>
      <c r="K4" s="274"/>
      <c r="L4" s="274"/>
      <c r="M4" s="27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7"/>
      <c r="AB29" s="207"/>
      <c r="AC29" s="291"/>
      <c r="AD29" s="291"/>
      <c r="AE29" s="291"/>
      <c r="AF29" s="291"/>
      <c r="AG29" s="291"/>
      <c r="AH29" s="291"/>
      <c r="AI29" s="291"/>
      <c r="AJ29" s="291"/>
      <c r="AK29" s="291"/>
      <c r="AL29" s="291"/>
      <c r="AM29" s="291"/>
      <c r="AN29" s="207"/>
      <c r="AO29" s="207"/>
      <c r="AP29" s="291"/>
      <c r="AQ29" s="291"/>
      <c r="AR29" s="291"/>
      <c r="AS29" s="291"/>
      <c r="AT29" s="291"/>
      <c r="AU29" s="291"/>
      <c r="AV29" s="291"/>
      <c r="AW29" s="291"/>
      <c r="AX29" s="291"/>
      <c r="AY29" s="291"/>
      <c r="AZ29" s="291"/>
      <c r="BA29" s="207"/>
      <c r="BB29" s="207"/>
      <c r="BC29" s="291"/>
      <c r="BD29" s="291"/>
      <c r="BE29" s="291"/>
      <c r="BF29" s="291"/>
      <c r="BG29" s="291"/>
      <c r="BH29" s="291"/>
      <c r="BI29" s="291"/>
      <c r="BJ29" s="291"/>
      <c r="BK29" s="291"/>
      <c r="BL29" s="291"/>
      <c r="BM29" s="291"/>
      <c r="BN29" s="207"/>
      <c r="BO29" s="207"/>
      <c r="BP29" s="291"/>
      <c r="BQ29" s="291"/>
      <c r="BR29" s="291"/>
      <c r="BS29" s="291"/>
      <c r="BT29" s="291"/>
      <c r="BU29" s="291"/>
      <c r="BV29" s="291"/>
      <c r="BW29" s="291"/>
      <c r="BX29" s="291"/>
      <c r="BY29" s="291"/>
      <c r="BZ29" s="291"/>
      <c r="CA29" s="207"/>
      <c r="CB29" s="207"/>
      <c r="CC29" s="291"/>
      <c r="CD29" s="291"/>
      <c r="CE29" s="291"/>
      <c r="CF29" s="291"/>
      <c r="CG29" s="291"/>
      <c r="CH29" s="291"/>
      <c r="CI29" s="291"/>
      <c r="CJ29" s="291"/>
      <c r="CK29" s="291"/>
      <c r="CL29" s="291"/>
      <c r="CM29" s="291"/>
      <c r="CN29" s="207"/>
      <c r="CO29" s="207"/>
      <c r="CP29" s="291"/>
      <c r="CQ29" s="291"/>
      <c r="CR29" s="291"/>
      <c r="CS29" s="291"/>
      <c r="CT29" s="291"/>
      <c r="CU29" s="291"/>
      <c r="CV29" s="291"/>
      <c r="CW29" s="291"/>
      <c r="CX29" s="291"/>
      <c r="CY29" s="291"/>
      <c r="CZ29" s="291"/>
      <c r="DA29" s="207"/>
      <c r="DB29" s="207"/>
      <c r="DC29" s="291"/>
      <c r="DD29" s="291"/>
      <c r="DE29" s="291"/>
      <c r="DF29" s="291"/>
      <c r="DG29" s="291"/>
      <c r="DH29" s="291"/>
      <c r="DI29" s="291"/>
      <c r="DJ29" s="291"/>
      <c r="DK29" s="291"/>
      <c r="DL29" s="291"/>
      <c r="DM29" s="291"/>
      <c r="DN29" s="207"/>
      <c r="DO29" s="207"/>
      <c r="DP29" s="291"/>
      <c r="DQ29" s="291"/>
      <c r="DR29" s="291"/>
      <c r="DS29" s="291"/>
      <c r="DT29" s="291"/>
      <c r="DU29" s="291"/>
      <c r="DV29" s="291"/>
      <c r="DW29" s="291"/>
      <c r="DX29" s="291"/>
      <c r="DY29" s="291"/>
      <c r="DZ29" s="291"/>
      <c r="EA29" s="207"/>
      <c r="EB29" s="207"/>
      <c r="EC29" s="291"/>
      <c r="ED29" s="291"/>
      <c r="EE29" s="291"/>
      <c r="EF29" s="291"/>
      <c r="EG29" s="291"/>
      <c r="EH29" s="291"/>
      <c r="EI29" s="291"/>
      <c r="EJ29" s="291"/>
      <c r="EK29" s="291"/>
      <c r="EL29" s="291"/>
      <c r="EM29" s="291"/>
      <c r="EN29" s="207"/>
      <c r="EO29" s="207"/>
      <c r="EP29" s="291"/>
      <c r="EQ29" s="291"/>
      <c r="ER29" s="291"/>
      <c r="ES29" s="291"/>
      <c r="ET29" s="291"/>
      <c r="EU29" s="291"/>
      <c r="EV29" s="291"/>
      <c r="EW29" s="291"/>
      <c r="EX29" s="291"/>
      <c r="EY29" s="291"/>
      <c r="EZ29" s="291"/>
      <c r="FA29" s="207"/>
      <c r="FB29" s="207"/>
      <c r="FC29" s="291"/>
      <c r="FD29" s="291"/>
      <c r="FE29" s="291"/>
      <c r="FF29" s="291"/>
      <c r="FG29" s="291"/>
      <c r="FH29" s="291"/>
      <c r="FI29" s="291"/>
      <c r="FJ29" s="291"/>
      <c r="FK29" s="291"/>
      <c r="FL29" s="291"/>
      <c r="FM29" s="291"/>
      <c r="FN29" s="207"/>
      <c r="FO29" s="207"/>
      <c r="FP29" s="291"/>
      <c r="FQ29" s="291"/>
      <c r="FR29" s="291"/>
      <c r="FS29" s="291"/>
      <c r="FT29" s="291"/>
      <c r="FU29" s="291"/>
      <c r="FV29" s="291"/>
      <c r="FW29" s="291"/>
      <c r="FX29" s="291"/>
      <c r="FY29" s="291"/>
      <c r="FZ29" s="291"/>
      <c r="GA29" s="207"/>
      <c r="GB29" s="207"/>
      <c r="GC29" s="291"/>
      <c r="GD29" s="291"/>
      <c r="GE29" s="291"/>
      <c r="GF29" s="291"/>
      <c r="GG29" s="291"/>
      <c r="GH29" s="291"/>
      <c r="GI29" s="291"/>
      <c r="GJ29" s="291"/>
      <c r="GK29" s="291"/>
      <c r="GL29" s="291"/>
      <c r="GM29" s="291"/>
      <c r="GN29" s="207"/>
      <c r="GO29" s="207"/>
      <c r="GP29" s="291"/>
      <c r="GQ29" s="291"/>
      <c r="GR29" s="291"/>
      <c r="GS29" s="291"/>
      <c r="GT29" s="291"/>
      <c r="GU29" s="291"/>
      <c r="GV29" s="291"/>
      <c r="GW29" s="291"/>
      <c r="GX29" s="291"/>
      <c r="GY29" s="291"/>
      <c r="GZ29" s="291"/>
      <c r="HA29" s="207"/>
      <c r="HB29" s="207"/>
      <c r="HC29" s="291"/>
      <c r="HD29" s="291"/>
      <c r="HE29" s="291"/>
      <c r="HF29" s="291"/>
      <c r="HG29" s="291"/>
      <c r="HH29" s="291"/>
      <c r="HI29" s="291"/>
      <c r="HJ29" s="291"/>
      <c r="HK29" s="291"/>
      <c r="HL29" s="291"/>
      <c r="HM29" s="291"/>
      <c r="HN29" s="207"/>
      <c r="HO29" s="207"/>
      <c r="HP29" s="291"/>
      <c r="HQ29" s="291"/>
      <c r="HR29" s="291"/>
      <c r="HS29" s="291"/>
      <c r="HT29" s="291"/>
      <c r="HU29" s="291"/>
      <c r="HV29" s="291"/>
      <c r="HW29" s="291"/>
      <c r="HX29" s="291"/>
      <c r="HY29" s="291"/>
      <c r="HZ29" s="291"/>
      <c r="IA29" s="207"/>
      <c r="IB29" s="207"/>
      <c r="IC29" s="291"/>
      <c r="ID29" s="291"/>
      <c r="IE29" s="291"/>
      <c r="IF29" s="291"/>
      <c r="IG29" s="291"/>
      <c r="IH29" s="291"/>
      <c r="II29" s="291"/>
      <c r="IJ29" s="291"/>
      <c r="IK29" s="291"/>
      <c r="IL29" s="291"/>
      <c r="IM29" s="291"/>
      <c r="IN29" s="207"/>
      <c r="IO29" s="207"/>
      <c r="IP29" s="291"/>
      <c r="IQ29" s="291"/>
      <c r="IR29" s="291"/>
      <c r="IS29" s="291"/>
      <c r="IT29" s="291"/>
      <c r="IU29" s="291"/>
      <c r="IV29" s="291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7"/>
      <c r="AB30" s="207"/>
      <c r="AC30" s="291"/>
      <c r="AD30" s="291"/>
      <c r="AE30" s="291"/>
      <c r="AF30" s="291"/>
      <c r="AG30" s="291"/>
      <c r="AH30" s="291"/>
      <c r="AI30" s="291"/>
      <c r="AJ30" s="291"/>
      <c r="AK30" s="291"/>
      <c r="AL30" s="291"/>
      <c r="AM30" s="291"/>
      <c r="AN30" s="207"/>
      <c r="AO30" s="207"/>
      <c r="AP30" s="291"/>
      <c r="AQ30" s="291"/>
      <c r="AR30" s="291"/>
      <c r="AS30" s="291"/>
      <c r="AT30" s="291"/>
      <c r="AU30" s="291"/>
      <c r="AV30" s="291"/>
      <c r="AW30" s="291"/>
      <c r="AX30" s="291"/>
      <c r="AY30" s="291"/>
      <c r="AZ30" s="291"/>
      <c r="BA30" s="207"/>
      <c r="BB30" s="207"/>
      <c r="BC30" s="291"/>
      <c r="BD30" s="291"/>
      <c r="BE30" s="291"/>
      <c r="BF30" s="291"/>
      <c r="BG30" s="291"/>
      <c r="BH30" s="291"/>
      <c r="BI30" s="291"/>
      <c r="BJ30" s="291"/>
      <c r="BK30" s="291"/>
      <c r="BL30" s="291"/>
      <c r="BM30" s="291"/>
      <c r="BN30" s="207"/>
      <c r="BO30" s="207"/>
      <c r="BP30" s="291"/>
      <c r="BQ30" s="291"/>
      <c r="BR30" s="291"/>
      <c r="BS30" s="291"/>
      <c r="BT30" s="291"/>
      <c r="BU30" s="291"/>
      <c r="BV30" s="291"/>
      <c r="BW30" s="291"/>
      <c r="BX30" s="291"/>
      <c r="BY30" s="291"/>
      <c r="BZ30" s="291"/>
      <c r="CA30" s="207"/>
      <c r="CB30" s="207"/>
      <c r="CC30" s="291"/>
      <c r="CD30" s="291"/>
      <c r="CE30" s="291"/>
      <c r="CF30" s="291"/>
      <c r="CG30" s="291"/>
      <c r="CH30" s="291"/>
      <c r="CI30" s="291"/>
      <c r="CJ30" s="291"/>
      <c r="CK30" s="291"/>
      <c r="CL30" s="291"/>
      <c r="CM30" s="291"/>
      <c r="CN30" s="207"/>
      <c r="CO30" s="207"/>
      <c r="CP30" s="291"/>
      <c r="CQ30" s="291"/>
      <c r="CR30" s="291"/>
      <c r="CS30" s="291"/>
      <c r="CT30" s="291"/>
      <c r="CU30" s="291"/>
      <c r="CV30" s="291"/>
      <c r="CW30" s="291"/>
      <c r="CX30" s="291"/>
      <c r="CY30" s="291"/>
      <c r="CZ30" s="291"/>
      <c r="DA30" s="207"/>
      <c r="DB30" s="207"/>
      <c r="DC30" s="291"/>
      <c r="DD30" s="291"/>
      <c r="DE30" s="291"/>
      <c r="DF30" s="291"/>
      <c r="DG30" s="291"/>
      <c r="DH30" s="291"/>
      <c r="DI30" s="291"/>
      <c r="DJ30" s="291"/>
      <c r="DK30" s="291"/>
      <c r="DL30" s="291"/>
      <c r="DM30" s="291"/>
      <c r="DN30" s="207"/>
      <c r="DO30" s="207"/>
      <c r="DP30" s="291"/>
      <c r="DQ30" s="291"/>
      <c r="DR30" s="291"/>
      <c r="DS30" s="291"/>
      <c r="DT30" s="291"/>
      <c r="DU30" s="291"/>
      <c r="DV30" s="291"/>
      <c r="DW30" s="291"/>
      <c r="DX30" s="291"/>
      <c r="DY30" s="291"/>
      <c r="DZ30" s="291"/>
      <c r="EA30" s="207"/>
      <c r="EB30" s="207"/>
      <c r="EC30" s="291"/>
      <c r="ED30" s="291"/>
      <c r="EE30" s="291"/>
      <c r="EF30" s="291"/>
      <c r="EG30" s="291"/>
      <c r="EH30" s="291"/>
      <c r="EI30" s="291"/>
      <c r="EJ30" s="291"/>
      <c r="EK30" s="291"/>
      <c r="EL30" s="291"/>
      <c r="EM30" s="291"/>
      <c r="EN30" s="207"/>
      <c r="EO30" s="207"/>
      <c r="EP30" s="291"/>
      <c r="EQ30" s="291"/>
      <c r="ER30" s="291"/>
      <c r="ES30" s="291"/>
      <c r="ET30" s="291"/>
      <c r="EU30" s="291"/>
      <c r="EV30" s="291"/>
      <c r="EW30" s="291"/>
      <c r="EX30" s="291"/>
      <c r="EY30" s="291"/>
      <c r="EZ30" s="291"/>
      <c r="FA30" s="207"/>
      <c r="FB30" s="207"/>
      <c r="FC30" s="291"/>
      <c r="FD30" s="291"/>
      <c r="FE30" s="291"/>
      <c r="FF30" s="291"/>
      <c r="FG30" s="291"/>
      <c r="FH30" s="291"/>
      <c r="FI30" s="291"/>
      <c r="FJ30" s="291"/>
      <c r="FK30" s="291"/>
      <c r="FL30" s="291"/>
      <c r="FM30" s="291"/>
      <c r="FN30" s="207"/>
      <c r="FO30" s="207"/>
      <c r="FP30" s="291"/>
      <c r="FQ30" s="291"/>
      <c r="FR30" s="291"/>
      <c r="FS30" s="291"/>
      <c r="FT30" s="291"/>
      <c r="FU30" s="291"/>
      <c r="FV30" s="291"/>
      <c r="FW30" s="291"/>
      <c r="FX30" s="291"/>
      <c r="FY30" s="291"/>
      <c r="FZ30" s="291"/>
      <c r="GA30" s="207"/>
      <c r="GB30" s="207"/>
      <c r="GC30" s="291"/>
      <c r="GD30" s="291"/>
      <c r="GE30" s="291"/>
      <c r="GF30" s="291"/>
      <c r="GG30" s="291"/>
      <c r="GH30" s="291"/>
      <c r="GI30" s="291"/>
      <c r="GJ30" s="291"/>
      <c r="GK30" s="291"/>
      <c r="GL30" s="291"/>
      <c r="GM30" s="291"/>
      <c r="GN30" s="207"/>
      <c r="GO30" s="207"/>
      <c r="GP30" s="291"/>
      <c r="GQ30" s="291"/>
      <c r="GR30" s="291"/>
      <c r="GS30" s="291"/>
      <c r="GT30" s="291"/>
      <c r="GU30" s="291"/>
      <c r="GV30" s="291"/>
      <c r="GW30" s="291"/>
      <c r="GX30" s="291"/>
      <c r="GY30" s="291"/>
      <c r="GZ30" s="291"/>
      <c r="HA30" s="207"/>
      <c r="HB30" s="207"/>
      <c r="HC30" s="291"/>
      <c r="HD30" s="291"/>
      <c r="HE30" s="291"/>
      <c r="HF30" s="291"/>
      <c r="HG30" s="291"/>
      <c r="HH30" s="291"/>
      <c r="HI30" s="291"/>
      <c r="HJ30" s="291"/>
      <c r="HK30" s="291"/>
      <c r="HL30" s="291"/>
      <c r="HM30" s="291"/>
      <c r="HN30" s="207"/>
      <c r="HO30" s="207"/>
      <c r="HP30" s="291"/>
      <c r="HQ30" s="291"/>
      <c r="HR30" s="291"/>
      <c r="HS30" s="291"/>
      <c r="HT30" s="291"/>
      <c r="HU30" s="291"/>
      <c r="HV30" s="291"/>
      <c r="HW30" s="291"/>
      <c r="HX30" s="291"/>
      <c r="HY30" s="291"/>
      <c r="HZ30" s="291"/>
      <c r="IA30" s="207"/>
      <c r="IB30" s="207"/>
      <c r="IC30" s="291"/>
      <c r="ID30" s="291"/>
      <c r="IE30" s="291"/>
      <c r="IF30" s="291"/>
      <c r="IG30" s="291"/>
      <c r="IH30" s="291"/>
      <c r="II30" s="291"/>
      <c r="IJ30" s="291"/>
      <c r="IK30" s="291"/>
      <c r="IL30" s="291"/>
      <c r="IM30" s="291"/>
      <c r="IN30" s="207"/>
      <c r="IO30" s="207"/>
      <c r="IP30" s="291"/>
      <c r="IQ30" s="291"/>
      <c r="IR30" s="291"/>
      <c r="IS30" s="291"/>
      <c r="IT30" s="291"/>
      <c r="IU30" s="291"/>
      <c r="IV30" s="291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7"/>
      <c r="AB31" s="207"/>
      <c r="AC31" s="291"/>
      <c r="AD31" s="291"/>
      <c r="AE31" s="291"/>
      <c r="AF31" s="291"/>
      <c r="AG31" s="291"/>
      <c r="AH31" s="291"/>
      <c r="AI31" s="291"/>
      <c r="AJ31" s="291"/>
      <c r="AK31" s="291"/>
      <c r="AL31" s="291"/>
      <c r="AM31" s="291"/>
      <c r="AN31" s="207"/>
      <c r="AO31" s="207"/>
      <c r="AP31" s="291"/>
      <c r="AQ31" s="291"/>
      <c r="AR31" s="291"/>
      <c r="AS31" s="291"/>
      <c r="AT31" s="291"/>
      <c r="AU31" s="291"/>
      <c r="AV31" s="291"/>
      <c r="AW31" s="291"/>
      <c r="AX31" s="291"/>
      <c r="AY31" s="291"/>
      <c r="AZ31" s="291"/>
      <c r="BA31" s="207"/>
      <c r="BB31" s="207"/>
      <c r="BC31" s="291"/>
      <c r="BD31" s="291"/>
      <c r="BE31" s="291"/>
      <c r="BF31" s="291"/>
      <c r="BG31" s="291"/>
      <c r="BH31" s="291"/>
      <c r="BI31" s="291"/>
      <c r="BJ31" s="291"/>
      <c r="BK31" s="291"/>
      <c r="BL31" s="291"/>
      <c r="BM31" s="291"/>
      <c r="BN31" s="207"/>
      <c r="BO31" s="207"/>
      <c r="BP31" s="291"/>
      <c r="BQ31" s="291"/>
      <c r="BR31" s="291"/>
      <c r="BS31" s="291"/>
      <c r="BT31" s="291"/>
      <c r="BU31" s="291"/>
      <c r="BV31" s="291"/>
      <c r="BW31" s="291"/>
      <c r="BX31" s="291"/>
      <c r="BY31" s="291"/>
      <c r="BZ31" s="291"/>
      <c r="CA31" s="207"/>
      <c r="CB31" s="207"/>
      <c r="CC31" s="291"/>
      <c r="CD31" s="291"/>
      <c r="CE31" s="291"/>
      <c r="CF31" s="291"/>
      <c r="CG31" s="291"/>
      <c r="CH31" s="291"/>
      <c r="CI31" s="291"/>
      <c r="CJ31" s="291"/>
      <c r="CK31" s="291"/>
      <c r="CL31" s="291"/>
      <c r="CM31" s="291"/>
      <c r="CN31" s="207"/>
      <c r="CO31" s="207"/>
      <c r="CP31" s="291"/>
      <c r="CQ31" s="291"/>
      <c r="CR31" s="291"/>
      <c r="CS31" s="291"/>
      <c r="CT31" s="291"/>
      <c r="CU31" s="291"/>
      <c r="CV31" s="291"/>
      <c r="CW31" s="291"/>
      <c r="CX31" s="291"/>
      <c r="CY31" s="291"/>
      <c r="CZ31" s="291"/>
      <c r="DA31" s="207"/>
      <c r="DB31" s="207"/>
      <c r="DC31" s="291"/>
      <c r="DD31" s="291"/>
      <c r="DE31" s="291"/>
      <c r="DF31" s="291"/>
      <c r="DG31" s="291"/>
      <c r="DH31" s="291"/>
      <c r="DI31" s="291"/>
      <c r="DJ31" s="291"/>
      <c r="DK31" s="291"/>
      <c r="DL31" s="291"/>
      <c r="DM31" s="291"/>
      <c r="DN31" s="207"/>
      <c r="DO31" s="207"/>
      <c r="DP31" s="291"/>
      <c r="DQ31" s="291"/>
      <c r="DR31" s="291"/>
      <c r="DS31" s="291"/>
      <c r="DT31" s="291"/>
      <c r="DU31" s="291"/>
      <c r="DV31" s="291"/>
      <c r="DW31" s="291"/>
      <c r="DX31" s="291"/>
      <c r="DY31" s="291"/>
      <c r="DZ31" s="291"/>
      <c r="EA31" s="207"/>
      <c r="EB31" s="207"/>
      <c r="EC31" s="291"/>
      <c r="ED31" s="291"/>
      <c r="EE31" s="291"/>
      <c r="EF31" s="291"/>
      <c r="EG31" s="291"/>
      <c r="EH31" s="291"/>
      <c r="EI31" s="291"/>
      <c r="EJ31" s="291"/>
      <c r="EK31" s="291"/>
      <c r="EL31" s="291"/>
      <c r="EM31" s="291"/>
      <c r="EN31" s="207"/>
      <c r="EO31" s="207"/>
      <c r="EP31" s="291"/>
      <c r="EQ31" s="291"/>
      <c r="ER31" s="291"/>
      <c r="ES31" s="291"/>
      <c r="ET31" s="291"/>
      <c r="EU31" s="291"/>
      <c r="EV31" s="291"/>
      <c r="EW31" s="291"/>
      <c r="EX31" s="291"/>
      <c r="EY31" s="291"/>
      <c r="EZ31" s="291"/>
      <c r="FA31" s="207"/>
      <c r="FB31" s="207"/>
      <c r="FC31" s="291"/>
      <c r="FD31" s="291"/>
      <c r="FE31" s="291"/>
      <c r="FF31" s="291"/>
      <c r="FG31" s="291"/>
      <c r="FH31" s="291"/>
      <c r="FI31" s="291"/>
      <c r="FJ31" s="291"/>
      <c r="FK31" s="291"/>
      <c r="FL31" s="291"/>
      <c r="FM31" s="291"/>
      <c r="FN31" s="207"/>
      <c r="FO31" s="207"/>
      <c r="FP31" s="291"/>
      <c r="FQ31" s="291"/>
      <c r="FR31" s="291"/>
      <c r="FS31" s="291"/>
      <c r="FT31" s="291"/>
      <c r="FU31" s="291"/>
      <c r="FV31" s="291"/>
      <c r="FW31" s="291"/>
      <c r="FX31" s="291"/>
      <c r="FY31" s="291"/>
      <c r="FZ31" s="291"/>
      <c r="GA31" s="207"/>
      <c r="GB31" s="207"/>
      <c r="GC31" s="291"/>
      <c r="GD31" s="291"/>
      <c r="GE31" s="291"/>
      <c r="GF31" s="291"/>
      <c r="GG31" s="291"/>
      <c r="GH31" s="291"/>
      <c r="GI31" s="291"/>
      <c r="GJ31" s="291"/>
      <c r="GK31" s="291"/>
      <c r="GL31" s="291"/>
      <c r="GM31" s="291"/>
      <c r="GN31" s="207"/>
      <c r="GO31" s="207"/>
      <c r="GP31" s="291"/>
      <c r="GQ31" s="291"/>
      <c r="GR31" s="291"/>
      <c r="GS31" s="291"/>
      <c r="GT31" s="291"/>
      <c r="GU31" s="291"/>
      <c r="GV31" s="291"/>
      <c r="GW31" s="291"/>
      <c r="GX31" s="291"/>
      <c r="GY31" s="291"/>
      <c r="GZ31" s="291"/>
      <c r="HA31" s="207"/>
      <c r="HB31" s="207"/>
      <c r="HC31" s="291"/>
      <c r="HD31" s="291"/>
      <c r="HE31" s="291"/>
      <c r="HF31" s="291"/>
      <c r="HG31" s="291"/>
      <c r="HH31" s="291"/>
      <c r="HI31" s="291"/>
      <c r="HJ31" s="291"/>
      <c r="HK31" s="291"/>
      <c r="HL31" s="291"/>
      <c r="HM31" s="291"/>
      <c r="HN31" s="207"/>
      <c r="HO31" s="207"/>
      <c r="HP31" s="291"/>
      <c r="HQ31" s="291"/>
      <c r="HR31" s="291"/>
      <c r="HS31" s="291"/>
      <c r="HT31" s="291"/>
      <c r="HU31" s="291"/>
      <c r="HV31" s="291"/>
      <c r="HW31" s="291"/>
      <c r="HX31" s="291"/>
      <c r="HY31" s="291"/>
      <c r="HZ31" s="291"/>
      <c r="IA31" s="207"/>
      <c r="IB31" s="207"/>
      <c r="IC31" s="291"/>
      <c r="ID31" s="291"/>
      <c r="IE31" s="291"/>
      <c r="IF31" s="291"/>
      <c r="IG31" s="291"/>
      <c r="IH31" s="291"/>
      <c r="II31" s="291"/>
      <c r="IJ31" s="291"/>
      <c r="IK31" s="291"/>
      <c r="IL31" s="291"/>
      <c r="IM31" s="291"/>
      <c r="IN31" s="207"/>
      <c r="IO31" s="207"/>
      <c r="IP31" s="291"/>
      <c r="IQ31" s="291"/>
      <c r="IR31" s="291"/>
      <c r="IS31" s="291"/>
      <c r="IT31" s="291"/>
      <c r="IU31" s="291"/>
      <c r="IV31" s="291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7"/>
      <c r="AB38" s="207"/>
      <c r="AC38" s="291"/>
      <c r="AD38" s="291"/>
      <c r="AE38" s="291"/>
      <c r="AF38" s="291"/>
      <c r="AG38" s="291"/>
      <c r="AH38" s="291"/>
      <c r="AI38" s="291"/>
      <c r="AJ38" s="291"/>
      <c r="AK38" s="291"/>
      <c r="AL38" s="291"/>
      <c r="AM38" s="291"/>
      <c r="AN38" s="207"/>
      <c r="AO38" s="207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07"/>
      <c r="BB38" s="207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07"/>
      <c r="BO38" s="207"/>
      <c r="BP38" s="291"/>
      <c r="BQ38" s="291"/>
      <c r="BR38" s="291"/>
      <c r="BS38" s="291"/>
      <c r="BT38" s="291"/>
      <c r="BU38" s="291"/>
      <c r="BV38" s="291"/>
      <c r="BW38" s="291"/>
      <c r="BX38" s="291"/>
      <c r="BY38" s="291"/>
      <c r="BZ38" s="291"/>
      <c r="CA38" s="207"/>
      <c r="CB38" s="207"/>
      <c r="CC38" s="291"/>
      <c r="CD38" s="291"/>
      <c r="CE38" s="291"/>
      <c r="CF38" s="291"/>
      <c r="CG38" s="291"/>
      <c r="CH38" s="291"/>
      <c r="CI38" s="291"/>
      <c r="CJ38" s="291"/>
      <c r="CK38" s="291"/>
      <c r="CL38" s="291"/>
      <c r="CM38" s="291"/>
      <c r="CN38" s="207"/>
      <c r="CO38" s="207"/>
      <c r="CP38" s="291"/>
      <c r="CQ38" s="291"/>
      <c r="CR38" s="291"/>
      <c r="CS38" s="291"/>
      <c r="CT38" s="291"/>
      <c r="CU38" s="291"/>
      <c r="CV38" s="291"/>
      <c r="CW38" s="291"/>
      <c r="CX38" s="291"/>
      <c r="CY38" s="291"/>
      <c r="CZ38" s="291"/>
      <c r="DA38" s="207"/>
      <c r="DB38" s="207"/>
      <c r="DC38" s="291"/>
      <c r="DD38" s="291"/>
      <c r="DE38" s="291"/>
      <c r="DF38" s="291"/>
      <c r="DG38" s="291"/>
      <c r="DH38" s="291"/>
      <c r="DI38" s="291"/>
      <c r="DJ38" s="291"/>
      <c r="DK38" s="291"/>
      <c r="DL38" s="291"/>
      <c r="DM38" s="291"/>
      <c r="DN38" s="207"/>
      <c r="DO38" s="207"/>
      <c r="DP38" s="291"/>
      <c r="DQ38" s="291"/>
      <c r="DR38" s="291"/>
      <c r="DS38" s="291"/>
      <c r="DT38" s="291"/>
      <c r="DU38" s="291"/>
      <c r="DV38" s="291"/>
      <c r="DW38" s="291"/>
      <c r="DX38" s="291"/>
      <c r="DY38" s="291"/>
      <c r="DZ38" s="291"/>
      <c r="EA38" s="207"/>
      <c r="EB38" s="207"/>
      <c r="EC38" s="291"/>
      <c r="ED38" s="291"/>
      <c r="EE38" s="291"/>
      <c r="EF38" s="291"/>
      <c r="EG38" s="291"/>
      <c r="EH38" s="291"/>
      <c r="EI38" s="291"/>
      <c r="EJ38" s="291"/>
      <c r="EK38" s="291"/>
      <c r="EL38" s="291"/>
      <c r="EM38" s="291"/>
      <c r="EN38" s="207"/>
      <c r="EO38" s="207"/>
      <c r="EP38" s="291"/>
      <c r="EQ38" s="291"/>
      <c r="ER38" s="291"/>
      <c r="ES38" s="291"/>
      <c r="ET38" s="291"/>
      <c r="EU38" s="291"/>
      <c r="EV38" s="291"/>
      <c r="EW38" s="291"/>
      <c r="EX38" s="291"/>
      <c r="EY38" s="291"/>
      <c r="EZ38" s="291"/>
      <c r="FA38" s="207"/>
      <c r="FB38" s="207"/>
      <c r="FC38" s="291"/>
      <c r="FD38" s="291"/>
      <c r="FE38" s="291"/>
      <c r="FF38" s="291"/>
      <c r="FG38" s="291"/>
      <c r="FH38" s="291"/>
      <c r="FI38" s="291"/>
      <c r="FJ38" s="291"/>
      <c r="FK38" s="291"/>
      <c r="FL38" s="291"/>
      <c r="FM38" s="291"/>
      <c r="FN38" s="207"/>
      <c r="FO38" s="207"/>
      <c r="FP38" s="291"/>
      <c r="FQ38" s="291"/>
      <c r="FR38" s="291"/>
      <c r="FS38" s="291"/>
      <c r="FT38" s="291"/>
      <c r="FU38" s="291"/>
      <c r="FV38" s="291"/>
      <c r="FW38" s="291"/>
      <c r="FX38" s="291"/>
      <c r="FY38" s="291"/>
      <c r="FZ38" s="291"/>
      <c r="GA38" s="207"/>
      <c r="GB38" s="207"/>
      <c r="GC38" s="291"/>
      <c r="GD38" s="291"/>
      <c r="GE38" s="291"/>
      <c r="GF38" s="291"/>
      <c r="GG38" s="291"/>
      <c r="GH38" s="291"/>
      <c r="GI38" s="291"/>
      <c r="GJ38" s="291"/>
      <c r="GK38" s="291"/>
      <c r="GL38" s="291"/>
      <c r="GM38" s="291"/>
      <c r="GN38" s="207"/>
      <c r="GO38" s="207"/>
      <c r="GP38" s="291"/>
      <c r="GQ38" s="291"/>
      <c r="GR38" s="291"/>
      <c r="GS38" s="291"/>
      <c r="GT38" s="291"/>
      <c r="GU38" s="291"/>
      <c r="GV38" s="291"/>
      <c r="GW38" s="291"/>
      <c r="GX38" s="291"/>
      <c r="GY38" s="291"/>
      <c r="GZ38" s="291"/>
      <c r="HA38" s="207"/>
      <c r="HB38" s="207"/>
      <c r="HC38" s="291"/>
      <c r="HD38" s="291"/>
      <c r="HE38" s="291"/>
      <c r="HF38" s="291"/>
      <c r="HG38" s="291"/>
      <c r="HH38" s="291"/>
      <c r="HI38" s="291"/>
      <c r="HJ38" s="291"/>
      <c r="HK38" s="291"/>
      <c r="HL38" s="291"/>
      <c r="HM38" s="291"/>
      <c r="HN38" s="207"/>
      <c r="HO38" s="207"/>
      <c r="HP38" s="291"/>
      <c r="HQ38" s="291"/>
      <c r="HR38" s="291"/>
      <c r="HS38" s="291"/>
      <c r="HT38" s="291"/>
      <c r="HU38" s="291"/>
      <c r="HV38" s="291"/>
      <c r="HW38" s="291"/>
      <c r="HX38" s="291"/>
      <c r="HY38" s="291"/>
      <c r="HZ38" s="291"/>
      <c r="IA38" s="207"/>
      <c r="IB38" s="207"/>
      <c r="IC38" s="291"/>
      <c r="ID38" s="291"/>
      <c r="IE38" s="291"/>
      <c r="IF38" s="291"/>
      <c r="IG38" s="291"/>
      <c r="IH38" s="291"/>
      <c r="II38" s="291"/>
      <c r="IJ38" s="291"/>
      <c r="IK38" s="291"/>
      <c r="IL38" s="291"/>
      <c r="IM38" s="291"/>
      <c r="IN38" s="207"/>
      <c r="IO38" s="207"/>
      <c r="IP38" s="291"/>
      <c r="IQ38" s="291"/>
      <c r="IR38" s="291"/>
      <c r="IS38" s="291"/>
      <c r="IT38" s="291"/>
      <c r="IU38" s="291"/>
      <c r="IV38" s="291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7"/>
      <c r="AB39" s="207"/>
      <c r="AC39" s="291"/>
      <c r="AD39" s="291"/>
      <c r="AE39" s="291"/>
      <c r="AF39" s="291"/>
      <c r="AG39" s="291"/>
      <c r="AH39" s="291"/>
      <c r="AI39" s="291"/>
      <c r="AJ39" s="291"/>
      <c r="AK39" s="291"/>
      <c r="AL39" s="291"/>
      <c r="AM39" s="291"/>
      <c r="AN39" s="207"/>
      <c r="AO39" s="207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07"/>
      <c r="BB39" s="207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07"/>
      <c r="BO39" s="207"/>
      <c r="BP39" s="291"/>
      <c r="BQ39" s="291"/>
      <c r="BR39" s="291"/>
      <c r="BS39" s="291"/>
      <c r="BT39" s="291"/>
      <c r="BU39" s="291"/>
      <c r="BV39" s="291"/>
      <c r="BW39" s="291"/>
      <c r="BX39" s="291"/>
      <c r="BY39" s="291"/>
      <c r="BZ39" s="291"/>
      <c r="CA39" s="207"/>
      <c r="CB39" s="207"/>
      <c r="CC39" s="291"/>
      <c r="CD39" s="291"/>
      <c r="CE39" s="291"/>
      <c r="CF39" s="291"/>
      <c r="CG39" s="291"/>
      <c r="CH39" s="291"/>
      <c r="CI39" s="291"/>
      <c r="CJ39" s="291"/>
      <c r="CK39" s="291"/>
      <c r="CL39" s="291"/>
      <c r="CM39" s="291"/>
      <c r="CN39" s="207"/>
      <c r="CO39" s="207"/>
      <c r="CP39" s="291"/>
      <c r="CQ39" s="291"/>
      <c r="CR39" s="291"/>
      <c r="CS39" s="291"/>
      <c r="CT39" s="291"/>
      <c r="CU39" s="291"/>
      <c r="CV39" s="291"/>
      <c r="CW39" s="291"/>
      <c r="CX39" s="291"/>
      <c r="CY39" s="291"/>
      <c r="CZ39" s="291"/>
      <c r="DA39" s="207"/>
      <c r="DB39" s="207"/>
      <c r="DC39" s="291"/>
      <c r="DD39" s="291"/>
      <c r="DE39" s="291"/>
      <c r="DF39" s="291"/>
      <c r="DG39" s="291"/>
      <c r="DH39" s="291"/>
      <c r="DI39" s="291"/>
      <c r="DJ39" s="291"/>
      <c r="DK39" s="291"/>
      <c r="DL39" s="291"/>
      <c r="DM39" s="291"/>
      <c r="DN39" s="207"/>
      <c r="DO39" s="207"/>
      <c r="DP39" s="291"/>
      <c r="DQ39" s="291"/>
      <c r="DR39" s="291"/>
      <c r="DS39" s="291"/>
      <c r="DT39" s="291"/>
      <c r="DU39" s="291"/>
      <c r="DV39" s="291"/>
      <c r="DW39" s="291"/>
      <c r="DX39" s="291"/>
      <c r="DY39" s="291"/>
      <c r="DZ39" s="291"/>
      <c r="EA39" s="207"/>
      <c r="EB39" s="207"/>
      <c r="EC39" s="291"/>
      <c r="ED39" s="291"/>
      <c r="EE39" s="291"/>
      <c r="EF39" s="291"/>
      <c r="EG39" s="291"/>
      <c r="EH39" s="291"/>
      <c r="EI39" s="291"/>
      <c r="EJ39" s="291"/>
      <c r="EK39" s="291"/>
      <c r="EL39" s="291"/>
      <c r="EM39" s="291"/>
      <c r="EN39" s="207"/>
      <c r="EO39" s="207"/>
      <c r="EP39" s="291"/>
      <c r="EQ39" s="291"/>
      <c r="ER39" s="291"/>
      <c r="ES39" s="291"/>
      <c r="ET39" s="291"/>
      <c r="EU39" s="291"/>
      <c r="EV39" s="291"/>
      <c r="EW39" s="291"/>
      <c r="EX39" s="291"/>
      <c r="EY39" s="291"/>
      <c r="EZ39" s="291"/>
      <c r="FA39" s="207"/>
      <c r="FB39" s="207"/>
      <c r="FC39" s="291"/>
      <c r="FD39" s="291"/>
      <c r="FE39" s="291"/>
      <c r="FF39" s="291"/>
      <c r="FG39" s="291"/>
      <c r="FH39" s="291"/>
      <c r="FI39" s="291"/>
      <c r="FJ39" s="291"/>
      <c r="FK39" s="291"/>
      <c r="FL39" s="291"/>
      <c r="FM39" s="291"/>
      <c r="FN39" s="207"/>
      <c r="FO39" s="207"/>
      <c r="FP39" s="291"/>
      <c r="FQ39" s="291"/>
      <c r="FR39" s="291"/>
      <c r="FS39" s="291"/>
      <c r="FT39" s="291"/>
      <c r="FU39" s="291"/>
      <c r="FV39" s="291"/>
      <c r="FW39" s="291"/>
      <c r="FX39" s="291"/>
      <c r="FY39" s="291"/>
      <c r="FZ39" s="291"/>
      <c r="GA39" s="207"/>
      <c r="GB39" s="207"/>
      <c r="GC39" s="291"/>
      <c r="GD39" s="291"/>
      <c r="GE39" s="291"/>
      <c r="GF39" s="291"/>
      <c r="GG39" s="291"/>
      <c r="GH39" s="291"/>
      <c r="GI39" s="291"/>
      <c r="GJ39" s="291"/>
      <c r="GK39" s="291"/>
      <c r="GL39" s="291"/>
      <c r="GM39" s="291"/>
      <c r="GN39" s="207"/>
      <c r="GO39" s="207"/>
      <c r="GP39" s="291"/>
      <c r="GQ39" s="291"/>
      <c r="GR39" s="291"/>
      <c r="GS39" s="291"/>
      <c r="GT39" s="291"/>
      <c r="GU39" s="291"/>
      <c r="GV39" s="291"/>
      <c r="GW39" s="291"/>
      <c r="GX39" s="291"/>
      <c r="GY39" s="291"/>
      <c r="GZ39" s="291"/>
      <c r="HA39" s="207"/>
      <c r="HB39" s="207"/>
      <c r="HC39" s="291"/>
      <c r="HD39" s="291"/>
      <c r="HE39" s="291"/>
      <c r="HF39" s="291"/>
      <c r="HG39" s="291"/>
      <c r="HH39" s="291"/>
      <c r="HI39" s="291"/>
      <c r="HJ39" s="291"/>
      <c r="HK39" s="291"/>
      <c r="HL39" s="291"/>
      <c r="HM39" s="291"/>
      <c r="HN39" s="207"/>
      <c r="HO39" s="207"/>
      <c r="HP39" s="291"/>
      <c r="HQ39" s="291"/>
      <c r="HR39" s="291"/>
      <c r="HS39" s="291"/>
      <c r="HT39" s="291"/>
      <c r="HU39" s="291"/>
      <c r="HV39" s="291"/>
      <c r="HW39" s="291"/>
      <c r="HX39" s="291"/>
      <c r="HY39" s="291"/>
      <c r="HZ39" s="291"/>
      <c r="IA39" s="207"/>
      <c r="IB39" s="207"/>
      <c r="IC39" s="291"/>
      <c r="ID39" s="291"/>
      <c r="IE39" s="291"/>
      <c r="IF39" s="291"/>
      <c r="IG39" s="291"/>
      <c r="IH39" s="291"/>
      <c r="II39" s="291"/>
      <c r="IJ39" s="291"/>
      <c r="IK39" s="291"/>
      <c r="IL39" s="291"/>
      <c r="IM39" s="291"/>
      <c r="IN39" s="207"/>
      <c r="IO39" s="207"/>
      <c r="IP39" s="291"/>
      <c r="IQ39" s="291"/>
      <c r="IR39" s="291"/>
      <c r="IS39" s="291"/>
      <c r="IT39" s="291"/>
      <c r="IU39" s="291"/>
      <c r="IV39" s="291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7"/>
      <c r="AB40" s="207"/>
      <c r="AC40" s="291"/>
      <c r="AD40" s="291"/>
      <c r="AE40" s="291"/>
      <c r="AF40" s="291"/>
      <c r="AG40" s="291"/>
      <c r="AH40" s="291"/>
      <c r="AI40" s="291"/>
      <c r="AJ40" s="291"/>
      <c r="AK40" s="291"/>
      <c r="AL40" s="291"/>
      <c r="AM40" s="291"/>
      <c r="AN40" s="207"/>
      <c r="AO40" s="207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07"/>
      <c r="BB40" s="207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07"/>
      <c r="BO40" s="207"/>
      <c r="BP40" s="291"/>
      <c r="BQ40" s="291"/>
      <c r="BR40" s="291"/>
      <c r="BS40" s="291"/>
      <c r="BT40" s="291"/>
      <c r="BU40" s="291"/>
      <c r="BV40" s="291"/>
      <c r="BW40" s="291"/>
      <c r="BX40" s="291"/>
      <c r="BY40" s="291"/>
      <c r="BZ40" s="291"/>
      <c r="CA40" s="207"/>
      <c r="CB40" s="207"/>
      <c r="CC40" s="291"/>
      <c r="CD40" s="291"/>
      <c r="CE40" s="291"/>
      <c r="CF40" s="291"/>
      <c r="CG40" s="291"/>
      <c r="CH40" s="291"/>
      <c r="CI40" s="291"/>
      <c r="CJ40" s="291"/>
      <c r="CK40" s="291"/>
      <c r="CL40" s="291"/>
      <c r="CM40" s="291"/>
      <c r="CN40" s="207"/>
      <c r="CO40" s="207"/>
      <c r="CP40" s="291"/>
      <c r="CQ40" s="291"/>
      <c r="CR40" s="291"/>
      <c r="CS40" s="291"/>
      <c r="CT40" s="291"/>
      <c r="CU40" s="291"/>
      <c r="CV40" s="291"/>
      <c r="CW40" s="291"/>
      <c r="CX40" s="291"/>
      <c r="CY40" s="291"/>
      <c r="CZ40" s="291"/>
      <c r="DA40" s="207"/>
      <c r="DB40" s="207"/>
      <c r="DC40" s="291"/>
      <c r="DD40" s="291"/>
      <c r="DE40" s="291"/>
      <c r="DF40" s="291"/>
      <c r="DG40" s="291"/>
      <c r="DH40" s="291"/>
      <c r="DI40" s="291"/>
      <c r="DJ40" s="291"/>
      <c r="DK40" s="291"/>
      <c r="DL40" s="291"/>
      <c r="DM40" s="291"/>
      <c r="DN40" s="207"/>
      <c r="DO40" s="207"/>
      <c r="DP40" s="291"/>
      <c r="DQ40" s="291"/>
      <c r="DR40" s="291"/>
      <c r="DS40" s="291"/>
      <c r="DT40" s="291"/>
      <c r="DU40" s="291"/>
      <c r="DV40" s="291"/>
      <c r="DW40" s="291"/>
      <c r="DX40" s="291"/>
      <c r="DY40" s="291"/>
      <c r="DZ40" s="291"/>
      <c r="EA40" s="207"/>
      <c r="EB40" s="207"/>
      <c r="EC40" s="291"/>
      <c r="ED40" s="291"/>
      <c r="EE40" s="291"/>
      <c r="EF40" s="291"/>
      <c r="EG40" s="291"/>
      <c r="EH40" s="291"/>
      <c r="EI40" s="291"/>
      <c r="EJ40" s="291"/>
      <c r="EK40" s="291"/>
      <c r="EL40" s="291"/>
      <c r="EM40" s="291"/>
      <c r="EN40" s="207"/>
      <c r="EO40" s="207"/>
      <c r="EP40" s="291"/>
      <c r="EQ40" s="291"/>
      <c r="ER40" s="291"/>
      <c r="ES40" s="291"/>
      <c r="ET40" s="291"/>
      <c r="EU40" s="291"/>
      <c r="EV40" s="291"/>
      <c r="EW40" s="291"/>
      <c r="EX40" s="291"/>
      <c r="EY40" s="291"/>
      <c r="EZ40" s="291"/>
      <c r="FA40" s="207"/>
      <c r="FB40" s="207"/>
      <c r="FC40" s="291"/>
      <c r="FD40" s="291"/>
      <c r="FE40" s="291"/>
      <c r="FF40" s="291"/>
      <c r="FG40" s="291"/>
      <c r="FH40" s="291"/>
      <c r="FI40" s="291"/>
      <c r="FJ40" s="291"/>
      <c r="FK40" s="291"/>
      <c r="FL40" s="291"/>
      <c r="FM40" s="291"/>
      <c r="FN40" s="207"/>
      <c r="FO40" s="207"/>
      <c r="FP40" s="291"/>
      <c r="FQ40" s="291"/>
      <c r="FR40" s="291"/>
      <c r="FS40" s="291"/>
      <c r="FT40" s="291"/>
      <c r="FU40" s="291"/>
      <c r="FV40" s="291"/>
      <c r="FW40" s="291"/>
      <c r="FX40" s="291"/>
      <c r="FY40" s="291"/>
      <c r="FZ40" s="291"/>
      <c r="GA40" s="207"/>
      <c r="GB40" s="207"/>
      <c r="GC40" s="291"/>
      <c r="GD40" s="291"/>
      <c r="GE40" s="291"/>
      <c r="GF40" s="291"/>
      <c r="GG40" s="291"/>
      <c r="GH40" s="291"/>
      <c r="GI40" s="291"/>
      <c r="GJ40" s="291"/>
      <c r="GK40" s="291"/>
      <c r="GL40" s="291"/>
      <c r="GM40" s="291"/>
      <c r="GN40" s="207"/>
      <c r="GO40" s="207"/>
      <c r="GP40" s="291"/>
      <c r="GQ40" s="291"/>
      <c r="GR40" s="291"/>
      <c r="GS40" s="291"/>
      <c r="GT40" s="291"/>
      <c r="GU40" s="291"/>
      <c r="GV40" s="291"/>
      <c r="GW40" s="291"/>
      <c r="GX40" s="291"/>
      <c r="GY40" s="291"/>
      <c r="GZ40" s="291"/>
      <c r="HA40" s="207"/>
      <c r="HB40" s="207"/>
      <c r="HC40" s="291"/>
      <c r="HD40" s="291"/>
      <c r="HE40" s="291"/>
      <c r="HF40" s="291"/>
      <c r="HG40" s="291"/>
      <c r="HH40" s="291"/>
      <c r="HI40" s="291"/>
      <c r="HJ40" s="291"/>
      <c r="HK40" s="291"/>
      <c r="HL40" s="291"/>
      <c r="HM40" s="291"/>
      <c r="HN40" s="207"/>
      <c r="HO40" s="207"/>
      <c r="HP40" s="291"/>
      <c r="HQ40" s="291"/>
      <c r="HR40" s="291"/>
      <c r="HS40" s="291"/>
      <c r="HT40" s="291"/>
      <c r="HU40" s="291"/>
      <c r="HV40" s="291"/>
      <c r="HW40" s="291"/>
      <c r="HX40" s="291"/>
      <c r="HY40" s="291"/>
      <c r="HZ40" s="291"/>
      <c r="IA40" s="207"/>
      <c r="IB40" s="207"/>
      <c r="IC40" s="291"/>
      <c r="ID40" s="291"/>
      <c r="IE40" s="291"/>
      <c r="IF40" s="291"/>
      <c r="IG40" s="291"/>
      <c r="IH40" s="291"/>
      <c r="II40" s="291"/>
      <c r="IJ40" s="291"/>
      <c r="IK40" s="291"/>
      <c r="IL40" s="291"/>
      <c r="IM40" s="291"/>
      <c r="IN40" s="207"/>
      <c r="IO40" s="207"/>
      <c r="IP40" s="291"/>
      <c r="IQ40" s="291"/>
      <c r="IR40" s="291"/>
      <c r="IS40" s="291"/>
      <c r="IT40" s="291"/>
      <c r="IU40" s="291"/>
      <c r="IV40" s="291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0" t="s">
        <v>848</v>
      </c>
      <c r="B72" s="290"/>
      <c r="C72" s="290"/>
      <c r="D72" s="290"/>
      <c r="E72" s="29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</row>
    <row r="74" spans="1:13" x14ac:dyDescent="0.2">
      <c r="A74" s="211"/>
      <c r="B74" s="211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</row>
    <row r="75" spans="1:13" x14ac:dyDescent="0.2">
      <c r="A75" s="211"/>
      <c r="B75" s="211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</row>
    <row r="76" spans="1:13" x14ac:dyDescent="0.2">
      <c r="A76" s="211"/>
      <c r="B76" s="211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</row>
    <row r="77" spans="1:13" x14ac:dyDescent="0.2">
      <c r="A77" s="211"/>
      <c r="B77" s="211"/>
      <c r="C77" s="285"/>
      <c r="D77" s="285"/>
      <c r="E77" s="285"/>
      <c r="F77" s="285"/>
      <c r="G77" s="285"/>
      <c r="H77" s="285"/>
      <c r="I77" s="285"/>
      <c r="J77" s="285"/>
      <c r="K77" s="285"/>
      <c r="L77" s="285"/>
      <c r="M77" s="285"/>
    </row>
    <row r="78" spans="1:13" x14ac:dyDescent="0.2">
      <c r="A78" s="211"/>
      <c r="B78" s="211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</row>
    <row r="79" spans="1:13" x14ac:dyDescent="0.2">
      <c r="A79" s="211"/>
      <c r="B79" s="211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</row>
    <row r="80" spans="1:13" x14ac:dyDescent="0.2">
      <c r="A80" s="211"/>
      <c r="B80" s="211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</row>
    <row r="81" spans="1:13" x14ac:dyDescent="0.2">
      <c r="A81" s="211"/>
      <c r="B81" s="211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</row>
    <row r="82" spans="1:13" x14ac:dyDescent="0.2">
      <c r="A82" s="211"/>
      <c r="B82" s="211"/>
      <c r="C82" s="285"/>
      <c r="D82" s="285"/>
      <c r="E82" s="285"/>
      <c r="F82" s="285"/>
      <c r="G82" s="285"/>
      <c r="H82" s="285"/>
      <c r="I82" s="285"/>
      <c r="J82" s="285"/>
      <c r="K82" s="285"/>
      <c r="L82" s="285"/>
      <c r="M82" s="285"/>
    </row>
    <row r="83" spans="1:13" x14ac:dyDescent="0.2">
      <c r="A83" s="211"/>
      <c r="B83" s="211"/>
      <c r="C83" s="285"/>
      <c r="D83" s="285"/>
      <c r="E83" s="285"/>
      <c r="F83" s="285"/>
      <c r="G83" s="285"/>
      <c r="H83" s="285"/>
      <c r="I83" s="285"/>
      <c r="J83" s="285"/>
      <c r="K83" s="285"/>
      <c r="L83" s="285"/>
      <c r="M83" s="285"/>
    </row>
    <row r="84" spans="1:13" x14ac:dyDescent="0.2">
      <c r="A84" s="211"/>
      <c r="B84" s="211"/>
      <c r="C84" s="285"/>
      <c r="D84" s="285"/>
      <c r="E84" s="285"/>
      <c r="F84" s="285"/>
      <c r="G84" s="285"/>
      <c r="H84" s="285"/>
      <c r="I84" s="285"/>
      <c r="J84" s="285"/>
      <c r="K84" s="285"/>
      <c r="L84" s="285"/>
      <c r="M84" s="285"/>
    </row>
    <row r="85" spans="1:13" x14ac:dyDescent="0.2">
      <c r="A85" s="211"/>
      <c r="B85" s="211"/>
      <c r="C85" s="285"/>
      <c r="D85" s="285"/>
      <c r="E85" s="285"/>
      <c r="F85" s="285"/>
      <c r="G85" s="285"/>
      <c r="H85" s="285"/>
      <c r="I85" s="285"/>
      <c r="J85" s="285"/>
      <c r="K85" s="285"/>
      <c r="L85" s="285"/>
      <c r="M85" s="285"/>
    </row>
    <row r="86" spans="1:13" x14ac:dyDescent="0.2">
      <c r="A86" s="211"/>
      <c r="B86" s="211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</row>
    <row r="87" spans="1:13" x14ac:dyDescent="0.2">
      <c r="A87" s="211"/>
      <c r="B87" s="211"/>
      <c r="C87" s="285"/>
      <c r="D87" s="285"/>
      <c r="E87" s="285"/>
      <c r="F87" s="285"/>
      <c r="G87" s="285"/>
      <c r="H87" s="285"/>
      <c r="I87" s="285"/>
      <c r="J87" s="285"/>
      <c r="K87" s="285"/>
      <c r="L87" s="285"/>
      <c r="M87" s="285"/>
    </row>
    <row r="88" spans="1:13" x14ac:dyDescent="0.2">
      <c r="A88" s="211"/>
      <c r="B88" s="211"/>
      <c r="C88" s="285"/>
      <c r="D88" s="285"/>
      <c r="E88" s="285"/>
      <c r="F88" s="285"/>
      <c r="G88" s="285"/>
      <c r="H88" s="285"/>
      <c r="I88" s="285"/>
      <c r="J88" s="285"/>
      <c r="K88" s="285"/>
      <c r="L88" s="285"/>
      <c r="M88" s="285"/>
    </row>
    <row r="89" spans="1:13" x14ac:dyDescent="0.2">
      <c r="A89" s="211"/>
      <c r="B89" s="211"/>
      <c r="C89" s="285"/>
      <c r="D89" s="285"/>
      <c r="E89" s="285"/>
      <c r="F89" s="285"/>
      <c r="G89" s="285"/>
      <c r="H89" s="285"/>
      <c r="I89" s="285"/>
      <c r="J89" s="285"/>
      <c r="K89" s="285"/>
      <c r="L89" s="285"/>
      <c r="M89" s="285"/>
    </row>
    <row r="90" spans="1:13" x14ac:dyDescent="0.2">
      <c r="A90" s="211"/>
      <c r="B90" s="211"/>
      <c r="C90" s="285"/>
      <c r="D90" s="285"/>
      <c r="E90" s="285"/>
      <c r="F90" s="285"/>
      <c r="G90" s="285"/>
      <c r="H90" s="285"/>
      <c r="I90" s="285"/>
      <c r="J90" s="285"/>
      <c r="K90" s="285"/>
      <c r="L90" s="285"/>
      <c r="M90" s="285"/>
    </row>
  </sheetData>
  <sheetProtection password="BB0A" sheet="1" objects="1" scenarios="1"/>
  <mergeCells count="222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2013-09-08T15:07:25Z</cp:lastPrinted>
  <dcterms:created xsi:type="dcterms:W3CDTF">1997-12-04T19:04:30Z</dcterms:created>
  <dcterms:modified xsi:type="dcterms:W3CDTF">2013-12-05T18:50:12Z</dcterms:modified>
</cp:coreProperties>
</file>