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0" yWindow="0" windowWidth="21525" windowHeight="110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81" i="1" l="1"/>
  <c r="G464" i="1" l="1"/>
  <c r="G471" i="1"/>
  <c r="I357" i="1"/>
  <c r="C37" i="12" l="1"/>
  <c r="B39" i="12"/>
  <c r="B37" i="12"/>
  <c r="C19" i="12"/>
  <c r="B20" i="12"/>
  <c r="B19" i="12"/>
  <c r="C10" i="12"/>
  <c r="B10" i="12" l="1"/>
  <c r="B12" i="12"/>
  <c r="B11" i="12"/>
  <c r="J590" i="1" l="1"/>
  <c r="I590" i="1"/>
  <c r="H590" i="1"/>
  <c r="H366" i="1" l="1"/>
  <c r="G366" i="1"/>
  <c r="F366" i="1"/>
  <c r="H359" i="1"/>
  <c r="I358" i="1"/>
  <c r="I359" i="1"/>
  <c r="K359" i="1"/>
  <c r="K358" i="1"/>
  <c r="K357" i="1"/>
  <c r="H358" i="1"/>
  <c r="H357" i="1"/>
  <c r="G359" i="1"/>
  <c r="G358" i="1"/>
  <c r="G357" i="1"/>
  <c r="F359" i="1"/>
  <c r="F358" i="1"/>
  <c r="F357" i="1"/>
  <c r="F244" i="1"/>
  <c r="F232" i="1"/>
  <c r="F249" i="1"/>
  <c r="F233" i="1"/>
  <c r="J244" i="1"/>
  <c r="I244" i="1"/>
  <c r="H244" i="1"/>
  <c r="H243" i="1"/>
  <c r="J242" i="1"/>
  <c r="I242" i="1"/>
  <c r="H242" i="1"/>
  <c r="G242" i="1"/>
  <c r="F242" i="1"/>
  <c r="I238" i="1"/>
  <c r="H238" i="1"/>
  <c r="G238" i="1"/>
  <c r="F238" i="1"/>
  <c r="J237" i="1"/>
  <c r="I237" i="1"/>
  <c r="H237" i="1"/>
  <c r="G237" i="1"/>
  <c r="F237" i="1"/>
  <c r="I215" i="1"/>
  <c r="H215" i="1"/>
  <c r="G215" i="1"/>
  <c r="K197" i="1"/>
  <c r="I197" i="1"/>
  <c r="H197" i="1"/>
  <c r="I233" i="1"/>
  <c r="H233" i="1"/>
  <c r="G233" i="1"/>
  <c r="G232" i="1"/>
  <c r="J226" i="1"/>
  <c r="I226" i="1"/>
  <c r="H226" i="1"/>
  <c r="J208" i="1"/>
  <c r="I208" i="1"/>
  <c r="H208" i="1"/>
  <c r="H225" i="1"/>
  <c r="J224" i="1"/>
  <c r="I224" i="1"/>
  <c r="H224" i="1"/>
  <c r="G224" i="1"/>
  <c r="F224" i="1"/>
  <c r="I220" i="1"/>
  <c r="H220" i="1"/>
  <c r="G220" i="1"/>
  <c r="F220" i="1"/>
  <c r="I219" i="1"/>
  <c r="H219" i="1"/>
  <c r="G219" i="1"/>
  <c r="F219" i="1"/>
  <c r="G214" i="1"/>
  <c r="F215" i="1"/>
  <c r="F214" i="1"/>
  <c r="H207" i="1"/>
  <c r="J206" i="1"/>
  <c r="I206" i="1"/>
  <c r="H206" i="1"/>
  <c r="G206" i="1"/>
  <c r="F206" i="1"/>
  <c r="I202" i="1"/>
  <c r="H202" i="1"/>
  <c r="G202" i="1"/>
  <c r="F202" i="1"/>
  <c r="J201" i="1"/>
  <c r="I201" i="1"/>
  <c r="H201" i="1"/>
  <c r="G201" i="1"/>
  <c r="F201" i="1"/>
  <c r="G197" i="1"/>
  <c r="F197" i="1"/>
  <c r="G196" i="1"/>
  <c r="F196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E124" i="2" s="1"/>
  <c r="L332" i="1"/>
  <c r="L333" i="1"/>
  <c r="L334" i="1"/>
  <c r="L259" i="1"/>
  <c r="L260" i="1"/>
  <c r="C131" i="2" s="1"/>
  <c r="L340" i="1"/>
  <c r="E130" i="2" s="1"/>
  <c r="L341" i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I59" i="1"/>
  <c r="F78" i="1"/>
  <c r="C56" i="2" s="1"/>
  <c r="F93" i="1"/>
  <c r="C57" i="2" s="1"/>
  <c r="F110" i="1"/>
  <c r="G110" i="1"/>
  <c r="H78" i="1"/>
  <c r="H93" i="1"/>
  <c r="E57" i="2" s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D84" i="2" s="1"/>
  <c r="G161" i="1"/>
  <c r="H146" i="1"/>
  <c r="H161" i="1"/>
  <c r="H168" i="1" s="1"/>
  <c r="I146" i="1"/>
  <c r="F84" i="2" s="1"/>
  <c r="I161" i="1"/>
  <c r="L249" i="1"/>
  <c r="L331" i="1"/>
  <c r="E112" i="2" s="1"/>
  <c r="L253" i="1"/>
  <c r="L267" i="1"/>
  <c r="L268" i="1"/>
  <c r="L348" i="1"/>
  <c r="E141" i="2" s="1"/>
  <c r="L349" i="1"/>
  <c r="E142" i="2" s="1"/>
  <c r="I664" i="1"/>
  <c r="I669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0" i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L535" i="1"/>
  <c r="I548" i="1" s="1"/>
  <c r="L536" i="1"/>
  <c r="I549" i="1" s="1"/>
  <c r="L537" i="1"/>
  <c r="I550" i="1" s="1"/>
  <c r="L540" i="1"/>
  <c r="L541" i="1"/>
  <c r="J549" i="1" s="1"/>
  <c r="L542" i="1"/>
  <c r="J550" i="1" s="1"/>
  <c r="E131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I455" i="1"/>
  <c r="J43" i="1" s="1"/>
  <c r="I456" i="1"/>
  <c r="J37" i="1" s="1"/>
  <c r="I458" i="1"/>
  <c r="J47" i="1" s="1"/>
  <c r="G46" i="2" s="1"/>
  <c r="C48" i="2"/>
  <c r="E55" i="2"/>
  <c r="F55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1" i="2"/>
  <c r="C112" i="2"/>
  <c r="D114" i="2"/>
  <c r="F114" i="2"/>
  <c r="G114" i="2"/>
  <c r="E119" i="2"/>
  <c r="E120" i="2"/>
  <c r="E123" i="2"/>
  <c r="F127" i="2"/>
  <c r="G127" i="2"/>
  <c r="D133" i="2"/>
  <c r="D143" i="2" s="1"/>
  <c r="E133" i="2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G191" i="1" s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I407" i="1" s="1"/>
  <c r="F407" i="1"/>
  <c r="H642" i="1" s="1"/>
  <c r="G407" i="1"/>
  <c r="H407" i="1"/>
  <c r="H643" i="1" s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L432" i="1" s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F459" i="1"/>
  <c r="F460" i="1" s="1"/>
  <c r="H638" i="1" s="1"/>
  <c r="G459" i="1"/>
  <c r="H459" i="1"/>
  <c r="H460" i="1" s="1"/>
  <c r="H640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L569" i="1" s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9" i="1"/>
  <c r="G622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42" i="1"/>
  <c r="G643" i="1"/>
  <c r="J643" i="1" s="1"/>
  <c r="G644" i="1"/>
  <c r="H644" i="1"/>
  <c r="G651" i="1"/>
  <c r="H651" i="1"/>
  <c r="G652" i="1"/>
  <c r="H652" i="1"/>
  <c r="G653" i="1"/>
  <c r="H653" i="1"/>
  <c r="H654" i="1"/>
  <c r="J654" i="1" s="1"/>
  <c r="I168" i="1"/>
  <c r="G22" i="2"/>
  <c r="L559" i="1"/>
  <c r="G36" i="2"/>
  <c r="I570" i="1" l="1"/>
  <c r="L564" i="1"/>
  <c r="L570" i="1" s="1"/>
  <c r="H191" i="1"/>
  <c r="L269" i="1"/>
  <c r="F661" i="1"/>
  <c r="C12" i="10"/>
  <c r="J640" i="1"/>
  <c r="J642" i="1"/>
  <c r="E121" i="2"/>
  <c r="F129" i="2"/>
  <c r="F143" i="2" s="1"/>
  <c r="F144" i="2" s="1"/>
  <c r="C29" i="10"/>
  <c r="G623" i="1"/>
  <c r="K570" i="1"/>
  <c r="J638" i="1"/>
  <c r="L426" i="1"/>
  <c r="F191" i="1"/>
  <c r="J644" i="1"/>
  <c r="J570" i="1"/>
  <c r="F570" i="1"/>
  <c r="I475" i="1"/>
  <c r="H624" i="1" s="1"/>
  <c r="J624" i="1" s="1"/>
  <c r="G460" i="1"/>
  <c r="H639" i="1" s="1"/>
  <c r="J139" i="1"/>
  <c r="H139" i="1"/>
  <c r="L392" i="1"/>
  <c r="C137" i="2" s="1"/>
  <c r="E113" i="2"/>
  <c r="E122" i="2"/>
  <c r="C77" i="2"/>
  <c r="D49" i="2"/>
  <c r="F61" i="2"/>
  <c r="F62" i="2" s="1"/>
  <c r="F103" i="2" s="1"/>
  <c r="I551" i="1"/>
  <c r="G163" i="2"/>
  <c r="E102" i="2"/>
  <c r="F77" i="2"/>
  <c r="F80" i="2" s="1"/>
  <c r="G80" i="2"/>
  <c r="F18" i="2"/>
  <c r="D18" i="13"/>
  <c r="C18" i="13" s="1"/>
  <c r="K544" i="1"/>
  <c r="J544" i="1"/>
  <c r="G544" i="1"/>
  <c r="G551" i="1"/>
  <c r="L528" i="1"/>
  <c r="I544" i="1"/>
  <c r="H544" i="1"/>
  <c r="K549" i="1"/>
  <c r="D80" i="2"/>
  <c r="C69" i="2"/>
  <c r="G155" i="2"/>
  <c r="G102" i="2"/>
  <c r="F90" i="2"/>
  <c r="G61" i="2"/>
  <c r="G62" i="2" s="1"/>
  <c r="E49" i="2"/>
  <c r="F49" i="2"/>
  <c r="K604" i="1"/>
  <c r="G647" i="1" s="1"/>
  <c r="K597" i="1"/>
  <c r="G646" i="1" s="1"/>
  <c r="J650" i="1"/>
  <c r="G157" i="2"/>
  <c r="J475" i="1"/>
  <c r="H625" i="1" s="1"/>
  <c r="H475" i="1"/>
  <c r="H623" i="1" s="1"/>
  <c r="G475" i="1"/>
  <c r="H622" i="1" s="1"/>
  <c r="J622" i="1" s="1"/>
  <c r="F475" i="1"/>
  <c r="H621" i="1" s="1"/>
  <c r="J639" i="1"/>
  <c r="L400" i="1"/>
  <c r="C138" i="2" s="1"/>
  <c r="F337" i="1"/>
  <c r="F351" i="1" s="1"/>
  <c r="E118" i="2"/>
  <c r="E117" i="2"/>
  <c r="E109" i="2"/>
  <c r="H337" i="1"/>
  <c r="H351" i="1" s="1"/>
  <c r="G337" i="1"/>
  <c r="G351" i="1" s="1"/>
  <c r="I368" i="1"/>
  <c r="H633" i="1" s="1"/>
  <c r="J633" i="1" s="1"/>
  <c r="G660" i="1"/>
  <c r="H660" i="1"/>
  <c r="L361" i="1"/>
  <c r="G634" i="1" s="1"/>
  <c r="J634" i="1" s="1"/>
  <c r="D126" i="2"/>
  <c r="D127" i="2" s="1"/>
  <c r="D144" i="2" s="1"/>
  <c r="D19" i="13"/>
  <c r="C19" i="13" s="1"/>
  <c r="J256" i="1"/>
  <c r="J270" i="1" s="1"/>
  <c r="C21" i="10"/>
  <c r="E13" i="13"/>
  <c r="C13" i="13" s="1"/>
  <c r="C119" i="2"/>
  <c r="E8" i="13"/>
  <c r="C8" i="13" s="1"/>
  <c r="C25" i="10"/>
  <c r="C110" i="2"/>
  <c r="F256" i="1"/>
  <c r="F270" i="1" s="1"/>
  <c r="C124" i="2"/>
  <c r="D14" i="13"/>
  <c r="C14" i="13" s="1"/>
  <c r="C120" i="2"/>
  <c r="C109" i="2"/>
  <c r="C108" i="2"/>
  <c r="L228" i="1"/>
  <c r="L255" i="1"/>
  <c r="C129" i="2"/>
  <c r="H646" i="1"/>
  <c r="C18" i="10"/>
  <c r="D12" i="13"/>
  <c r="C12" i="13" s="1"/>
  <c r="D6" i="13"/>
  <c r="C6" i="13" s="1"/>
  <c r="H256" i="1"/>
  <c r="H270" i="1" s="1"/>
  <c r="C10" i="10"/>
  <c r="D90" i="2"/>
  <c r="D61" i="2"/>
  <c r="D62" i="2" s="1"/>
  <c r="D18" i="2"/>
  <c r="C49" i="2"/>
  <c r="C31" i="2"/>
  <c r="C18" i="2"/>
  <c r="G162" i="2"/>
  <c r="G159" i="2"/>
  <c r="F102" i="2"/>
  <c r="C61" i="2"/>
  <c r="C62" i="2" s="1"/>
  <c r="A31" i="12"/>
  <c r="E143" i="2"/>
  <c r="L308" i="1"/>
  <c r="C117" i="2"/>
  <c r="L246" i="1"/>
  <c r="D5" i="13"/>
  <c r="C5" i="13" s="1"/>
  <c r="C121" i="2"/>
  <c r="E16" i="13"/>
  <c r="H25" i="13"/>
  <c r="L289" i="1"/>
  <c r="L418" i="1"/>
  <c r="L433" i="1" s="1"/>
  <c r="G637" i="1" s="1"/>
  <c r="J637" i="1" s="1"/>
  <c r="J48" i="1"/>
  <c r="G47" i="2" s="1"/>
  <c r="I459" i="1"/>
  <c r="F31" i="2"/>
  <c r="J22" i="1"/>
  <c r="G21" i="2" s="1"/>
  <c r="G31" i="2" s="1"/>
  <c r="I451" i="1"/>
  <c r="I460" i="1" s="1"/>
  <c r="H641" i="1" s="1"/>
  <c r="E18" i="2"/>
  <c r="J10" i="1"/>
  <c r="G9" i="2" s="1"/>
  <c r="I445" i="1"/>
  <c r="G641" i="1" s="1"/>
  <c r="J548" i="1"/>
  <c r="J551" i="1" s="1"/>
  <c r="L543" i="1"/>
  <c r="H550" i="1"/>
  <c r="L533" i="1"/>
  <c r="F548" i="1"/>
  <c r="L523" i="1"/>
  <c r="I256" i="1"/>
  <c r="I270" i="1" s="1"/>
  <c r="K256" i="1"/>
  <c r="K270" i="1" s="1"/>
  <c r="G256" i="1"/>
  <c r="G270" i="1" s="1"/>
  <c r="F51" i="1"/>
  <c r="H616" i="1" s="1"/>
  <c r="J616" i="1" s="1"/>
  <c r="G621" i="1"/>
  <c r="J621" i="1" s="1"/>
  <c r="B160" i="2"/>
  <c r="G160" i="2" s="1"/>
  <c r="K499" i="1"/>
  <c r="G156" i="2"/>
  <c r="C32" i="10"/>
  <c r="L350" i="1"/>
  <c r="C11" i="10"/>
  <c r="D17" i="13"/>
  <c r="C17" i="13" s="1"/>
  <c r="C113" i="2"/>
  <c r="G661" i="1"/>
  <c r="I661" i="1" s="1"/>
  <c r="G649" i="1"/>
  <c r="J649" i="1" s="1"/>
  <c r="C20" i="10"/>
  <c r="C122" i="2"/>
  <c r="D7" i="13"/>
  <c r="C7" i="13" s="1"/>
  <c r="C16" i="10"/>
  <c r="C118" i="2"/>
  <c r="C13" i="10"/>
  <c r="L210" i="1"/>
  <c r="C111" i="2"/>
  <c r="G161" i="2"/>
  <c r="G158" i="2"/>
  <c r="C102" i="2"/>
  <c r="C17" i="10"/>
  <c r="H111" i="1"/>
  <c r="H192" i="1" s="1"/>
  <c r="G628" i="1" s="1"/>
  <c r="J628" i="1" s="1"/>
  <c r="A13" i="12"/>
  <c r="A40" i="12"/>
  <c r="L327" i="1"/>
  <c r="C35" i="10"/>
  <c r="C26" i="10"/>
  <c r="L613" i="1"/>
  <c r="C90" i="2"/>
  <c r="E77" i="2"/>
  <c r="E80" i="2" s="1"/>
  <c r="D31" i="2"/>
  <c r="E31" i="2"/>
  <c r="F22" i="13"/>
  <c r="C22" i="13" s="1"/>
  <c r="F111" i="1"/>
  <c r="L538" i="1"/>
  <c r="K502" i="1"/>
  <c r="L381" i="1"/>
  <c r="G635" i="1" s="1"/>
  <c r="J635" i="1" s="1"/>
  <c r="K337" i="1"/>
  <c r="K351" i="1" s="1"/>
  <c r="L336" i="1"/>
  <c r="E108" i="2"/>
  <c r="E56" i="2"/>
  <c r="E61" i="2" s="1"/>
  <c r="E62" i="2" s="1"/>
  <c r="F660" i="1"/>
  <c r="C23" i="10"/>
  <c r="C19" i="10"/>
  <c r="C15" i="10"/>
  <c r="G111" i="1"/>
  <c r="D29" i="13"/>
  <c r="C29" i="13" s="1"/>
  <c r="D15" i="13"/>
  <c r="C15" i="13" s="1"/>
  <c r="G648" i="1"/>
  <c r="J648" i="1" s="1"/>
  <c r="J337" i="1"/>
  <c r="J351" i="1" s="1"/>
  <c r="C123" i="2"/>
  <c r="C24" i="10"/>
  <c r="G31" i="13"/>
  <c r="G33" i="13" s="1"/>
  <c r="I337" i="1"/>
  <c r="I351" i="1" s="1"/>
  <c r="L406" i="1"/>
  <c r="C139" i="2" s="1"/>
  <c r="I191" i="1"/>
  <c r="E90" i="2"/>
  <c r="J653" i="1"/>
  <c r="J652" i="1"/>
  <c r="J433" i="1"/>
  <c r="F433" i="1"/>
  <c r="K433" i="1"/>
  <c r="G133" i="2" s="1"/>
  <c r="G143" i="2" s="1"/>
  <c r="G144" i="2" s="1"/>
  <c r="F31" i="13"/>
  <c r="J192" i="1"/>
  <c r="G645" i="1" s="1"/>
  <c r="G168" i="1"/>
  <c r="C39" i="10" s="1"/>
  <c r="G139" i="1"/>
  <c r="F139" i="1"/>
  <c r="J617" i="1"/>
  <c r="G42" i="2"/>
  <c r="J50" i="1"/>
  <c r="G16" i="2"/>
  <c r="F544" i="1"/>
  <c r="H433" i="1"/>
  <c r="J619" i="1"/>
  <c r="J618" i="1"/>
  <c r="D102" i="2"/>
  <c r="I139" i="1"/>
  <c r="I192" i="1" s="1"/>
  <c r="G629" i="1" s="1"/>
  <c r="J629" i="1" s="1"/>
  <c r="A22" i="12"/>
  <c r="J651" i="1"/>
  <c r="G570" i="1"/>
  <c r="I433" i="1"/>
  <c r="G433" i="1"/>
  <c r="I662" i="1"/>
  <c r="J32" i="1" l="1"/>
  <c r="G18" i="2"/>
  <c r="E50" i="2"/>
  <c r="J19" i="1"/>
  <c r="G620" i="1" s="1"/>
  <c r="J623" i="1"/>
  <c r="F50" i="2"/>
  <c r="L407" i="1"/>
  <c r="D50" i="2"/>
  <c r="G103" i="2"/>
  <c r="C80" i="2"/>
  <c r="C103" i="2" s="1"/>
  <c r="G49" i="2"/>
  <c r="G50" i="2" s="1"/>
  <c r="C140" i="2"/>
  <c r="C143" i="2" s="1"/>
  <c r="J646" i="1"/>
  <c r="E103" i="2"/>
  <c r="E127" i="2"/>
  <c r="J641" i="1"/>
  <c r="E114" i="2"/>
  <c r="G659" i="1"/>
  <c r="G663" i="1" s="1"/>
  <c r="G671" i="1" s="1"/>
  <c r="C5" i="10" s="1"/>
  <c r="H647" i="1"/>
  <c r="J647" i="1" s="1"/>
  <c r="I660" i="1"/>
  <c r="C27" i="10"/>
  <c r="C28" i="10" s="1"/>
  <c r="D19" i="10" s="1"/>
  <c r="H659" i="1"/>
  <c r="H663" i="1" s="1"/>
  <c r="H666" i="1" s="1"/>
  <c r="C114" i="2"/>
  <c r="L256" i="1"/>
  <c r="L270" i="1" s="1"/>
  <c r="G631" i="1" s="1"/>
  <c r="J631" i="1" s="1"/>
  <c r="F33" i="13"/>
  <c r="C36" i="10"/>
  <c r="D103" i="2"/>
  <c r="F192" i="1"/>
  <c r="G626" i="1" s="1"/>
  <c r="J626" i="1" s="1"/>
  <c r="C50" i="2"/>
  <c r="L337" i="1"/>
  <c r="L351" i="1" s="1"/>
  <c r="G632" i="1" s="1"/>
  <c r="J632" i="1" s="1"/>
  <c r="H551" i="1"/>
  <c r="K550" i="1"/>
  <c r="F659" i="1"/>
  <c r="L544" i="1"/>
  <c r="C25" i="13"/>
  <c r="H33" i="13"/>
  <c r="D31" i="13"/>
  <c r="C31" i="13" s="1"/>
  <c r="K548" i="1"/>
  <c r="F551" i="1"/>
  <c r="E33" i="13"/>
  <c r="D35" i="13" s="1"/>
  <c r="C16" i="13"/>
  <c r="C127" i="2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G636" i="1" l="1"/>
  <c r="J636" i="1" s="1"/>
  <c r="H645" i="1"/>
  <c r="J645" i="1" s="1"/>
  <c r="E144" i="2"/>
  <c r="D33" i="13"/>
  <c r="D36" i="13" s="1"/>
  <c r="H671" i="1"/>
  <c r="C6" i="10" s="1"/>
  <c r="C144" i="2"/>
  <c r="G666" i="1"/>
  <c r="D27" i="10"/>
  <c r="C30" i="10"/>
  <c r="D13" i="10"/>
  <c r="D11" i="10"/>
  <c r="D10" i="10"/>
  <c r="D26" i="10"/>
  <c r="D16" i="10"/>
  <c r="D18" i="10"/>
  <c r="D20" i="10"/>
  <c r="D15" i="10"/>
  <c r="D22" i="10"/>
  <c r="D23" i="10"/>
  <c r="D21" i="10"/>
  <c r="F663" i="1"/>
  <c r="I659" i="1"/>
  <c r="I663" i="1" s="1"/>
  <c r="I671" i="1" s="1"/>
  <c r="C7" i="10" s="1"/>
  <c r="D17" i="10"/>
  <c r="D12" i="10"/>
  <c r="D24" i="10"/>
  <c r="K551" i="1"/>
  <c r="D25" i="10"/>
  <c r="C41" i="10"/>
  <c r="D38" i="10" s="1"/>
  <c r="H655" i="1" l="1"/>
  <c r="D28" i="10"/>
  <c r="I666" i="1"/>
  <c r="F671" i="1"/>
  <c r="C4" i="10" s="1"/>
  <c r="F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<sst xmlns="http://schemas.openxmlformats.org/spreadsheetml/2006/main" count="3947" uniqueCount="913">
  <si>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</si>
  <si>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</si>
  <si>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</si>
  <si>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</si>
  <si>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</si>
  <si>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</si>
  <si>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</si>
  <si>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</si>
  <si>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</si>
  <si>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</si>
  <si>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</si>
  <si>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</si>
  <si>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</si>
  <si>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</si>
  <si>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</si>
  <si>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</si>
  <si>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</si>
  <si>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</si>
  <si>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</si>
  <si>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</si>
  <si>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</si>
  <si>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</si>
  <si>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</si>
  <si>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</si>
  <si>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</si>
  <si>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</si>
  <si>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</si>
  <si>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</si>
  <si>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</si>
  <si>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</si>
  <si>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</si>
  <si>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</si>
  <si>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</si>
  <si>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</si>
  <si>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</si>
  <si>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</si>
  <si>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</si>
  <si>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</si>
  <si>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</si>
  <si>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</si>
  <si>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</si>
  <si>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</si>
  <si>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</si>
  <si>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</si>
  <si>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</si>
  <si>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</si>
  <si>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</si>
  <si>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</si>
  <si>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</si>
  <si>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</si>
  <si>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</si>
  <si>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</si>
  <si>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</si>
  <si>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</si>
  <si>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</si>
  <si>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</si>
  <si>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</si>
  <si>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</si>
  <si>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</si>
  <si>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</si>
  <si>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</si>
  <si>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</si>
  <si>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</si>
  <si>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</si>
  <si>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</si>
  <si>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</si>
  <si>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</si>
  <si>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</si>
  <si>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</si>
  <si>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</si>
  <si>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</si>
  <si>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</si>
  <si>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</si>
  <si>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</si>
  <si>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</si>
  <si>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</si>
  <si>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</si>
  <si>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</si>
  <si>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</si>
  <si>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</si>
  <si>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</si>
  <si>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</si>
  <si>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</si>
  <si>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</si>
  <si>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</si>
  <si>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</si>
  <si>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</si>
  <si>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</si>
  <si>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</si>
  <si>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</si>
  <si>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</si>
  <si>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</si>
  <si>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</si>
  <si>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</si>
  <si>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</si>
  <si>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</si>
  <si>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</si>
  <si>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</si>
  <si>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</si>
  <si>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</si>
  <si>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</si>
  <si>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</si>
  <si>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</si>
  <si>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</si>
  <si>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</si>
  <si>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</si>
  <si>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</si>
  <si>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</si>
  <si>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</si>
  <si>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</si>
  <si>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</si>
  <si>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</si>
  <si>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</si>
  <si>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</si>
  <si>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</si>
  <si>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</si>
  <si>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</si>
  <si>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</si>
  <si>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</si>
  <si>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</si>
  <si>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</si>
  <si>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</si>
  <si>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</si>
  <si>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</si>
  <si>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</si>
  <si>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</si>
  <si>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</si>
  <si>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</si>
  <si>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</si>
  <si>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</si>
  <si>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</si>
  <si>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</si>
  <si>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</si>
  <si>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</si>
  <si>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</si>
  <si>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</si>
  <si>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</si>
  <si>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</si>
  <si>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</si>
  <si>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</si>
  <si>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</si>
  <si>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</si>
  <si>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</si>
  <si>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</si>
  <si>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</si>
  <si>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</si>
  <si>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</si>
  <si>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</si>
  <si>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</si>
  <si>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</si>
  <si>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</si>
  <si>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</si>
  <si>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</si>
  <si>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</si>
  <si>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</si>
  <si>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</si>
  <si>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</si>
  <si>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</si>
  <si>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</si>
  <si>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</si>
  <si>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</si>
  <si>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</si>
  <si>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</si>
  <si>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</si>
  <si>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</si>
  <si>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</si>
  <si>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</si>
  <si>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</si>
  <si>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</si>
  <si>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</si>
  <si>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</si>
  <si>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</si>
  <si>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</si>
  <si>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</si>
  <si>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</si>
  <si>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</si>
  <si>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</si>
  <si>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</si>
  <si>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</si>
  <si>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</si>
  <si>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</si>
  <si>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</si>
  <si>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</si>
  <si>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</si>
  <si>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</si>
  <si>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</si>
  <si>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</si>
  <si>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</si>
  <si>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</si>
  <si>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</si>
  <si>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</si>
  <si>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</si>
  <si>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</si>
  <si>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</si>
  <si>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</si>
  <si>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</si>
  <si>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</si>
  <si>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</si>
  <si>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</si>
  <si>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</si>
  <si>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</si>
  <si>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</si>
  <si>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</si>
  <si>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</si>
  <si>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</si>
  <si>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</si>
  <si>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</si>
  <si>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</si>
  <si>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</si>
  <si>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</si>
  <si>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</si>
  <si>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</si>
  <si>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</si>
  <si>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</si>
  <si>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</si>
  <si>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</si>
  <si>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</si>
  <si>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</si>
  <si>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</si>
  <si>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</si>
  <si>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</si>
  <si>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</si>
  <si>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</si>
  <si>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</si>
  <si>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</si>
  <si>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</si>
  <si>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</si>
  <si>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</si>
  <si>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</si>
  <si>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</si>
  <si>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</si>
  <si>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</si>
  <si>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</si>
  <si>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</si>
  <si>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</si>
  <si>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</si>
  <si>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</si>
  <si>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</si>
  <si>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</si>
  <si>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</si>
  <si>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</si>
  <si>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</si>
  <si>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</si>
  <si>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</si>
  <si>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</si>
  <si>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</si>
  <si>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</si>
  <si>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</si>
  <si>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</si>
  <si>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</si>
  <si>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</si>
  <si>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</si>
  <si>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</si>
  <si>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</si>
  <si>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</si>
  <si>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</si>
  <si>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</si>
  <si>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</si>
  <si>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</si>
  <si>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</si>
  <si>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</si>
  <si>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</si>
  <si>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</si>
  <si>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</si>
  <si>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</si>
  <si>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</si>
  <si>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</si>
  <si>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</si>
  <si>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</si>
  <si>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</si>
  <si>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</si>
  <si>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</si>
  <si>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</si>
  <si>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</si>
  <si>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</si>
  <si>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</si>
  <si>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</si>
  <si>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</si>
  <si>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</si>
  <si>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</si>
  <si>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</si>
  <si>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</si>
  <si>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</si>
  <si>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</si>
  <si>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</si>
  <si>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</si>
  <si>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</si>
  <si>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</si>
  <si>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</si>
  <si>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</si>
  <si>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</si>
  <si>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</si>
  <si>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</si>
  <si>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</si>
  <si>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</si>
  <si>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</si>
  <si>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</si>
  <si>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</si>
  <si>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</si>
  <si>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</si>
  <si>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</si>
  <si>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</si>
  <si>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</si>
  <si>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</si>
  <si>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</si>
  <si>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</si>
  <si>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</si>
  <si>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</si>
  <si>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</si>
  <si>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</si>
  <si>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</si>
  <si>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</si>
  <si>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</si>
  <si>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</si>
  <si>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</si>
  <si>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</si>
  <si>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</si>
  <si>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</si>
  <si>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</si>
  <si>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</si>
  <si>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</si>
  <si>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</si>
  <si>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</si>
  <si>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</si>
  <si>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</si>
  <si>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</si>
  <si>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</si>
  <si>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</si>
  <si>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</si>
  <si>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</si>
  <si>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</si>
  <si>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</si>
  <si>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</si>
  <si>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</si>
  <si>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</si>
  <si>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</si>
  <si>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</si>
  <si>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</si>
  <si>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</si>
  <si>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</si>
  <si>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</si>
  <si>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</si>
  <si>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</si>
  <si>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</si>
  <si>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</si>
  <si>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</si>
  <si>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</si>
  <si>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</si>
  <si>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</si>
  <si>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</si>
  <si>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</si>
  <si>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</si>
  <si>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</si>
  <si>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</si>
  <si>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</si>
  <si>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</si>
  <si>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</si>
  <si>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</si>
  <si>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</si>
  <si>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</si>
  <si>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</si>
  <si>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</si>
  <si>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</si>
  <si>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</si>
  <si>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</si>
  <si>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</si>
  <si>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</si>
  <si>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</si>
  <si>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</si>
  <si>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</si>
  <si>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</si>
  <si>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</si>
  <si>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</si>
  <si>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</si>
  <si>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</si>
  <si>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</si>
  <si>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</si>
  <si>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</si>
  <si>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</si>
  <si>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</si>
  <si>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</si>
  <si>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</si>
  <si>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</si>
  <si>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</si>
  <si>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</si>
  <si>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</si>
  <si>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</si>
  <si>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</si>
  <si>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</si>
  <si>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</si>
  <si>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</si>
  <si>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</si>
  <si>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</si>
  <si>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</si>
  <si>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</si>
  <si>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</si>
  <si>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</si>
  <si>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</si>
  <si>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</si>
  <si>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</si>
  <si>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</si>
  <si>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</si>
  <si>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</si>
  <si>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</si>
  <si>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</si>
  <si>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</si>
  <si>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</si>
  <si>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</si>
  <si>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</si>
  <si>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</si>
  <si>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</si>
  <si>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</si>
  <si>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</si>
  <si>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</si>
  <si>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</si>
  <si>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</si>
  <si>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</si>
  <si>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</si>
  <si>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</si>
  <si>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</si>
  <si>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</si>
  <si>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</si>
  <si>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</si>
  <si>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</si>
  <si>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</si>
  <si>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</si>
  <si>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</si>
  <si>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</si>
  <si>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</si>
  <si>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</si>
  <si>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</si>
  <si>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</si>
  <si>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</si>
  <si>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</si>
  <si>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</si>
  <si>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</si>
  <si>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</si>
  <si>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</si>
  <si>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</si>
  <si>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</si>
  <si>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</si>
  <si>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</si>
  <si>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</si>
  <si>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</si>
  <si>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</si>
  <si>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</si>
  <si>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</si>
  <si>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</si>
  <si>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</si>
  <si>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</si>
  <si>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</si>
  <si>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</si>
  <si>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</si>
  <si>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</si>
  <si>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</si>
  <si>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</si>
  <si>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</si>
  <si>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</si>
  <si>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</si>
  <si>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</si>
  <si>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</si>
  <si>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</si>
  <si>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</si>
  <si>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</si>
  <si>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</si>
  <si>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</si>
  <si>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</si>
  <si>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</si>
  <si>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</si>
  <si>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</si>
  <si>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</si>
  <si>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</si>
  <si>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</si>
  <si>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</si>
  <si>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</si>
  <si>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</si>
  <si>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</si>
  <si>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</si>
  <si>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</si>
  <si>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</si>
  <si>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</si>
  <si>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</si>
  <si>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</si>
  <si>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</si>
  <si>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</si>
  <si>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</si>
  <si>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</si>
  <si>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</si>
  <si>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</si>
  <si>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</si>
  <si>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</si>
  <si>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</si>
  <si>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</si>
  <si>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</si>
  <si>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</si>
  <si>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</si>
  <si>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</si>
  <si>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</si>
  <si>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</si>
  <si>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</si>
  <si>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</si>
  <si>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</si>
  <si>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</si>
  <si>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</si>
  <si>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</si>
  <si>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</si>
  <si>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</si>
  <si>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</si>
  <si>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</si>
  <si>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</si>
  <si>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</si>
  <si>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</si>
  <si>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</si>
  <si>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</si>
  <si>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</si>
  <si>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</si>
  <si>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</si>
  <si>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</si>
  <si>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</si>
  <si>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</si>
  <si>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</si>
  <si>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</si>
  <si>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</si>
  <si>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</si>
  <si>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</si>
  <si>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</si>
  <si>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</si>
  <si>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</si>
  <si>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</si>
  <si>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</si>
  <si>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</si>
  <si>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</si>
  <si>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</si>
  <si>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</si>
  <si>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</si>
  <si>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</si>
  <si>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</si>
  <si>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</si>
  <si>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</si>
  <si>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</si>
  <si>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</si>
  <si>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</si>
  <si>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</si>
  <si>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</si>
  <si>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</si>
  <si>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</si>
  <si>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</si>
  <si>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</si>
  <si>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</si>
  <si>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</si>
  <si>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</si>
  <si>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</si>
  <si>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</si>
  <si>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</si>
  <si>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</si>
  <si>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</si>
  <si>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</si>
  <si>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</si>
  <si>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</si>
  <si>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</si>
  <si>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</si>
  <si>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</si>
  <si>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</si>
  <si>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</si>
  <si>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</si>
  <si>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</si>
  <si>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</si>
  <si>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</si>
  <si>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</si>
  <si>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</si>
  <si>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</si>
  <si>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</si>
  <si>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</si>
  <si>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</si>
  <si>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</si>
  <si>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</si>
  <si>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</si>
  <si>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</si>
  <si>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</si>
  <si>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</si>
  <si>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</si>
  <si>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</si>
  <si>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</si>
  <si>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</si>
  <si>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</si>
  <si>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</si>
  <si>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</si>
  <si>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</si>
  <si>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</si>
  <si>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</si>
  <si>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</si>
  <si>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</si>
  <si>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</si>
  <si>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</si>
  <si>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</si>
  <si>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</si>
  <si>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</si>
  <si>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</si>
  <si>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</si>
  <si>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</si>
  <si>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</si>
  <si>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</si>
  <si>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</si>
  <si>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</si>
  <si>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</si>
  <si>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</si>
  <si>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</si>
  <si>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</si>
  <si>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</si>
  <si>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</si>
  <si>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</si>
  <si>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</si>
  <si>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</si>
  <si>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</si>
  <si>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</si>
  <si>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</si>
  <si>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</si>
  <si>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</si>
  <si>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</si>
  <si>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</si>
  <si>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</si>
  <si>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</si>
  <si>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</si>
  <si>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</si>
  <si>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</si>
  <si>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</si>
  <si>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</si>
  <si>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</si>
  <si>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</si>
  <si>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</si>
  <si>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</si>
  <si>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</si>
  <si>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</si>
  <si>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</si>
  <si>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</si>
  <si>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</si>
  <si>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</si>
  <si>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</si>
  <si>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</si>
  <si>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</si>
  <si>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</si>
  <si>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</si>
  <si>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</si>
  <si>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</si>
  <si>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</si>
  <si>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</si>
  <si>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</si>
  <si>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</si>
  <si>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</si>
  <si>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</si>
  <si>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</si>
  <si>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</si>
  <si>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</si>
  <si>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</si>
  <si>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</si>
  <si>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</si>
  <si>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</si>
  <si>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</si>
  <si>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</si>
  <si>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</si>
  <si>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</si>
  <si>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</si>
  <si>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</si>
  <si>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</si>
  <si>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</si>
  <si>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</si>
  <si>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</si>
  <si>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</si>
  <si>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</si>
  <si>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</si>
  <si>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</si>
  <si>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</si>
  <si>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</si>
  <si>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</si>
  <si>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</si>
  <si>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</si>
  <si>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</si>
  <si>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</si>
  <si>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</si>
  <si>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</si>
  <si>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</si>
  <si>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</si>
  <si>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</si>
  <si>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</si>
  <si>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</si>
  <si>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</si>
  <si>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</si>
  <si>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</si>
  <si>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</si>
  <si>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</si>
  <si>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</si>
  <si>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</si>
  <si>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</si>
  <si>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</si>
  <si>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</si>
  <si>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</si>
  <si>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</si>
  <si>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</si>
  <si>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</si>
  <si>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</si>
  <si>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</si>
  <si>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</si>
  <si>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</si>
  <si>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</si>
  <si>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</si>
  <si>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</si>
  <si>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</si>
  <si>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</si>
  <si>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</si>
  <si>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</si>
  <si>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</si>
  <si>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</si>
  <si>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</si>
  <si>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</si>
  <si>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</si>
  <si>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</si>
  <si>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</si>
  <si>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</si>
  <si>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</si>
  <si>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</si>
  <si>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</si>
  <si>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</si>
  <si>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</si>
  <si>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</si>
  <si>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</si>
  <si>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</si>
  <si>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</si>
  <si>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</si>
  <si>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</si>
  <si>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</si>
  <si>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</si>
  <si>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</si>
  <si>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</si>
  <si>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</si>
  <si>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</si>
  <si>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</si>
  <si>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</si>
  <si>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</si>
  <si>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</si>
  <si>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</si>
  <si>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</si>
  <si>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</si>
  <si>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</si>
  <si>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</si>
  <si>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</si>
  <si>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</si>
  <si>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</si>
  <si>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</si>
  <si>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</si>
  <si>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</si>
  <si>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</si>
  <si>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</si>
  <si>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</si>
  <si>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</si>
  <si>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</si>
  <si>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</si>
  <si>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</si>
  <si>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</si>
  <si>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</si>
  <si>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</si>
  <si>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</si>
  <si>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</si>
  <si>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</si>
  <si>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</si>
  <si>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</si>
  <si>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</si>
  <si>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</si>
  <si>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</si>
  <si>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</si>
  <si>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</si>
  <si>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</si>
  <si>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</si>
  <si>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</si>
  <si>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</si>
  <si>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</si>
  <si>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</si>
  <si>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</si>
  <si>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</si>
  <si>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</si>
  <si>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</si>
  <si>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</si>
  <si>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</si>
  <si>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</si>
  <si>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</si>
  <si>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</si>
  <si>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</si>
  <si>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</si>
  <si>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</si>
  <si>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</si>
  <si>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</si>
  <si>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</si>
  <si>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</si>
  <si>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</si>
  <si>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</si>
  <si>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</si>
  <si>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</si>
  <si>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</si>
  <si>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</si>
  <si>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</si>
  <si>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</si>
  <si>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</si>
  <si>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</si>
  <si>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</si>
  <si>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</si>
  <si>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</si>
  <si>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</si>
  <si>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</si>
  <si>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</si>
  <si>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</si>
  <si>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</si>
  <si>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</si>
  <si>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</si>
  <si>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</si>
  <si>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</si>
  <si>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</si>
  <si>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</si>
  <si>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</si>
  <si>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</si>
  <si>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</si>
  <si>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</si>
  <si>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</si>
  <si>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</si>
  <si>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</si>
  <si>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</si>
  <si>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</si>
  <si>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</si>
  <si>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</si>
  <si>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</si>
  <si>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</si>
  <si>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</si>
  <si>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</si>
  <si>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</si>
  <si>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</si>
  <si>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</si>
  <si>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</si>
  <si>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</si>
  <si>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</si>
  <si>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</si>
  <si>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</si>
  <si>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</si>
  <si>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</si>
  <si>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</si>
  <si>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</si>
  <si>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</si>
  <si>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</si>
  <si>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</si>
  <si>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</si>
  <si>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</si>
  <si>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</si>
  <si>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</si>
  <si>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</si>
  <si>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</si>
  <si>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</si>
  <si>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</si>
  <si>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</si>
  <si>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</si>
  <si>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</si>
  <si>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</si>
  <si>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</si>
  <si>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</si>
  <si>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</si>
  <si>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</si>
  <si>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</si>
  <si>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</si>
  <si>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</si>
  <si>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</si>
  <si>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</si>
  <si>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</si>
  <si>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</si>
  <si>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</si>
  <si>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</si>
  <si>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</si>
  <si>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</si>
  <si>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</si>
  <si>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</si>
  <si>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</si>
  <si>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</si>
  <si>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</si>
  <si>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</si>
  <si>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</si>
  <si>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</si>
  <si>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</si>
  <si>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</si>
  <si>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</si>
  <si>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</si>
  <si>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</si>
  <si>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</si>
  <si>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</si>
  <si>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</si>
  <si>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</si>
  <si>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</si>
  <si>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</si>
  <si>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</si>
  <si>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</si>
  <si>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</si>
  <si>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</si>
  <si>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</si>
  <si>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</si>
  <si>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</si>
  <si>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</si>
  <si>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</si>
  <si>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</si>
  <si>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</si>
  <si>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</si>
  <si>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</si>
  <si>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</si>
  <si>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</si>
  <si>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</si>
  <si>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</si>
  <si>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Transfer to General Fund</t>
  </si>
  <si>
    <t>08/2000</t>
  </si>
  <si>
    <t>02/2015</t>
  </si>
  <si>
    <t>LITCHFIELD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</si>
</sst>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H:\DOE-25\FY2011-2012\Final\TOT08.xlsx" TargetMode="External"/><Relationship Id="rId13" Type="http://schemas.openxmlformats.org/officeDocument/2006/relationships/externalLinkPath" Target="file:///H:\DOE-25\FY2011-2012\Final\TOT13.xlsx" TargetMode="External"/><Relationship Id="rId18" Type="http://schemas.openxmlformats.org/officeDocument/2006/relationships/externalLinkPath" Target="file:///H:\DOE-25\FY2011-2012\Final\TOT18.xlsx" TargetMode="External"/><Relationship Id="rId3" Type="http://schemas.openxmlformats.org/officeDocument/2006/relationships/externalLinkPath" Target="file:///H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H:\DOE-25\FY2011-2012\Final\TOT07.xlsx" TargetMode="External"/><Relationship Id="rId12" Type="http://schemas.openxmlformats.org/officeDocument/2006/relationships/externalLinkPath" Target="file:///H:\DOE-25\FY2011-2012\Final\TOT12.xlsx" TargetMode="External"/><Relationship Id="rId17" Type="http://schemas.openxmlformats.org/officeDocument/2006/relationships/externalLinkPath" Target="file:///H:\DOE-25\FY2011-2012\Final\TOT17.xlsx" TargetMode="External"/><Relationship Id="rId2" Type="http://schemas.openxmlformats.org/officeDocument/2006/relationships/externalLinkPath" Target="file:///H:\DOE-25\FY2011-2012\Final\TOT02.xlsx" TargetMode="External"/><Relationship Id="rId16" Type="http://schemas.openxmlformats.org/officeDocument/2006/relationships/externalLinkPath" Target="file:///H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H:\DOE-25\FY2011-2012\Final\TOT01.xlsx" TargetMode="External"/><Relationship Id="rId6" Type="http://schemas.openxmlformats.org/officeDocument/2006/relationships/externalLinkPath" Target="file:///H:\DOE-25\FY2011-2012\Final\TOT06.xlsx" TargetMode="External"/><Relationship Id="rId11" Type="http://schemas.openxmlformats.org/officeDocument/2006/relationships/externalLinkPath" Target="file:///H:\DOE-25\FY2011-2012\Final\TOT11.xlsx" TargetMode="External"/><Relationship Id="rId5" Type="http://schemas.openxmlformats.org/officeDocument/2006/relationships/externalLinkPath" Target="file:///H:\DOE-25\FY2011-2012\Final\TOT05.xlsx" TargetMode="External"/><Relationship Id="rId15" Type="http://schemas.openxmlformats.org/officeDocument/2006/relationships/externalLinkPath" Target="file:///H:\DOE-25\FY2011-2012\Final\TOT15.xlsx" TargetMode="External"/><Relationship Id="rId10" Type="http://schemas.openxmlformats.org/officeDocument/2006/relationships/externalLinkPath" Target="file:///H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H:\DOE-25\FY2011-2012\Final\TOT04.xlsx" TargetMode="External"/><Relationship Id="rId9" Type="http://schemas.openxmlformats.org/officeDocument/2006/relationships/externalLinkPath" Target="file:///H:\DOE-25\FY2011-2012\Final\TOT09.xlsx" TargetMode="External"/><Relationship Id="rId14" Type="http://schemas.openxmlformats.org/officeDocument/2006/relationships/externalLinkPath" Target="file:///H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315</v>
      </c>
      <c r="C2" s="21">
        <v>315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1149274.5</v>
      </c>
      <c r="G9" s="18">
        <v>64877.9</v>
      </c>
      <c r="H9" s="18"/>
      <c r="I9" s="18"/>
      <c r="J9" s="67">
        <f>SUM(I438)</f>
        <v>104235.92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32331.43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15800.09</v>
      </c>
      <c r="G13" s="18">
        <v>15860.99</v>
      </c>
      <c r="H13" s="18">
        <v>91566.37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25936.2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1223342.22</v>
      </c>
      <c r="G19" s="41">
        <f>SUM(G9:G18)</f>
        <v>80738.89</v>
      </c>
      <c r="H19" s="41">
        <f>SUM(H9:H18)</f>
        <v>91566.37</v>
      </c>
      <c r="I19" s="41">
        <f>SUM(I9:I18)</f>
        <v>0</v>
      </c>
      <c r="J19" s="41">
        <f>SUM(J9:J18)</f>
        <v>104235.92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64874.87</v>
      </c>
      <c r="G22" s="18"/>
      <c r="H22" s="18">
        <v>32331.43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44636.97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52092.83</v>
      </c>
      <c r="G28" s="18">
        <v>21.01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554040.5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9866.2999999999993</v>
      </c>
      <c r="H30" s="18">
        <v>59234.94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715645.16999999993</v>
      </c>
      <c r="G32" s="41">
        <f>SUM(G22:G31)</f>
        <v>9887.31</v>
      </c>
      <c r="H32" s="41">
        <f>SUM(H22:H31)</f>
        <v>91566.37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70851.58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104235.92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140101.21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367595.84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507697.05000000005</v>
      </c>
      <c r="G50" s="41">
        <f>SUM(G35:G49)</f>
        <v>70851.58</v>
      </c>
      <c r="H50" s="41">
        <f>SUM(H35:H49)</f>
        <v>0</v>
      </c>
      <c r="I50" s="41">
        <f>SUM(I35:I49)</f>
        <v>0</v>
      </c>
      <c r="J50" s="41">
        <f>SUM(J35:J49)</f>
        <v>104235.92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1223342.22</v>
      </c>
      <c r="G51" s="41">
        <f>G50+G32</f>
        <v>80738.89</v>
      </c>
      <c r="H51" s="41">
        <f>H50+H32</f>
        <v>91566.37</v>
      </c>
      <c r="I51" s="41">
        <f>I50+I32</f>
        <v>0</v>
      </c>
      <c r="J51" s="41">
        <f>J50+J32</f>
        <v>104235.92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10405248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10405248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20031.599999999999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45916.05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65947.649999999994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12255.08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12255.08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987.32</v>
      </c>
      <c r="G95" s="18">
        <v>21.63</v>
      </c>
      <c r="H95" s="18"/>
      <c r="I95" s="18"/>
      <c r="J95" s="18">
        <v>535.14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425580.07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1812.5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117799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89783.08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210381.90000000002</v>
      </c>
      <c r="G110" s="41">
        <f>SUM(G95:G109)</f>
        <v>425601.7</v>
      </c>
      <c r="H110" s="41">
        <f>SUM(H95:H109)</f>
        <v>0</v>
      </c>
      <c r="I110" s="41">
        <f>SUM(I95:I109)</f>
        <v>0</v>
      </c>
      <c r="J110" s="41">
        <f>SUM(J95:J109)</f>
        <v>535.14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10693832.630000001</v>
      </c>
      <c r="G111" s="41">
        <f>G59+G110</f>
        <v>425601.7</v>
      </c>
      <c r="H111" s="41">
        <f>H59+H78+H93+H110</f>
        <v>0</v>
      </c>
      <c r="I111" s="41">
        <f>I59+I110</f>
        <v>0</v>
      </c>
      <c r="J111" s="41">
        <f>J59+J110</f>
        <v>535.14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6147683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1847398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7995081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260786.84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86250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198275.81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4488.6499999999996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2268.1799999999998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5541.44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4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SUM(F122:F133)</f>
        <v>552069.48</v>
      </c>
      <c r="G135" s="41">
        <f>SUM(G122:G134)</f>
        <v>5541.44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8547150.4800000004</v>
      </c>
      <c r="G139" s="41">
        <f>G120+SUM(G135:G136)</f>
        <v>5541.44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318288.05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109047.32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29857.8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99170.15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172587.05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172587.05</v>
      </c>
      <c r="G161" s="41">
        <f>SUM(G149:G160)</f>
        <v>99170.15</v>
      </c>
      <c r="H161" s="41">
        <f>SUM(H149:H160)</f>
        <v>457193.17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172587.05</v>
      </c>
      <c r="G168" s="41">
        <f>G146+G161+SUM(G162:G167)</f>
        <v>99170.15</v>
      </c>
      <c r="H168" s="41">
        <f>H146+H161+SUM(H162:H167)</f>
        <v>457193.17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52000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52000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52000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19465570.16</v>
      </c>
      <c r="G192" s="47">
        <f>G111+G139+G168+G191</f>
        <v>530313.29</v>
      </c>
      <c r="H192" s="47">
        <f>H111+H139+H168+H191</f>
        <v>457193.17</v>
      </c>
      <c r="I192" s="47">
        <f>I111+I139+I168+I191</f>
        <v>0</v>
      </c>
      <c r="J192" s="47">
        <f>J111+J139+J191</f>
        <v>535.14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1670742.93+11690.9</f>
        <v>1682433.8299999998</v>
      </c>
      <c r="G196" s="18">
        <f>657247.56+1905.23</f>
        <v>659152.79</v>
      </c>
      <c r="H196" s="18">
        <v>21833.439999999999</v>
      </c>
      <c r="I196" s="18">
        <v>79771.350000000006</v>
      </c>
      <c r="J196" s="18">
        <v>8146</v>
      </c>
      <c r="K196" s="18">
        <v>124</v>
      </c>
      <c r="L196" s="19">
        <f>SUM(F196:K196)</f>
        <v>2451461.41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497572.9+26780.49</f>
        <v>524353.39</v>
      </c>
      <c r="G197" s="18">
        <f>122723.03+3458.35</f>
        <v>126181.38</v>
      </c>
      <c r="H197" s="18">
        <f>238.75+81883.1</f>
        <v>82121.850000000006</v>
      </c>
      <c r="I197" s="18">
        <f>4512.42+65.67</f>
        <v>4578.09</v>
      </c>
      <c r="J197" s="18">
        <v>2588.62</v>
      </c>
      <c r="K197" s="18">
        <f>89+7543.49</f>
        <v>7632.49</v>
      </c>
      <c r="L197" s="19">
        <f>SUM(F197:K197)</f>
        <v>747455.82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8206.8799999999992</v>
      </c>
      <c r="G199" s="18">
        <v>1492.01</v>
      </c>
      <c r="H199" s="18"/>
      <c r="I199" s="18">
        <v>1747.27</v>
      </c>
      <c r="J199" s="18"/>
      <c r="K199" s="18">
        <v>50</v>
      </c>
      <c r="L199" s="19">
        <f>SUM(F199:K199)</f>
        <v>11496.16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117842.76+122468.06</f>
        <v>240310.82</v>
      </c>
      <c r="G201" s="18">
        <f>60667.6+49425.45</f>
        <v>110093.04999999999</v>
      </c>
      <c r="H201" s="18">
        <f>823.7+19044.14</f>
        <v>19867.84</v>
      </c>
      <c r="I201" s="18">
        <f>3101.04+4786.18</f>
        <v>7887.22</v>
      </c>
      <c r="J201" s="18">
        <f>2011.4+127.68</f>
        <v>2139.08</v>
      </c>
      <c r="K201" s="18"/>
      <c r="L201" s="19">
        <f t="shared" ref="L201:L207" si="0">SUM(F201:K201)</f>
        <v>380298.01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65621+25702.3</f>
        <v>91323.3</v>
      </c>
      <c r="G202" s="18">
        <f>14166.63+20035.73</f>
        <v>34202.36</v>
      </c>
      <c r="H202" s="18">
        <f>2346.05+9296.67</f>
        <v>11642.720000000001</v>
      </c>
      <c r="I202" s="18">
        <f>13425+1364.11</f>
        <v>14789.11</v>
      </c>
      <c r="J202" s="18">
        <v>3877.46</v>
      </c>
      <c r="K202" s="18">
        <v>1924.47</v>
      </c>
      <c r="L202" s="19">
        <f t="shared" si="0"/>
        <v>157759.41999999998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120256.77</v>
      </c>
      <c r="G203" s="18">
        <v>45357.7</v>
      </c>
      <c r="H203" s="18">
        <v>26520.63</v>
      </c>
      <c r="I203" s="18">
        <v>1571.33</v>
      </c>
      <c r="J203" s="18">
        <v>1304.6099999999999</v>
      </c>
      <c r="K203" s="18">
        <v>3907.38</v>
      </c>
      <c r="L203" s="19">
        <f t="shared" si="0"/>
        <v>198918.41999999998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279408.01</v>
      </c>
      <c r="G204" s="18">
        <v>129698.91</v>
      </c>
      <c r="H204" s="18">
        <v>4990.62</v>
      </c>
      <c r="I204" s="18">
        <v>2283.65</v>
      </c>
      <c r="J204" s="18">
        <v>229</v>
      </c>
      <c r="K204" s="18">
        <v>1322.53</v>
      </c>
      <c r="L204" s="19">
        <f t="shared" si="0"/>
        <v>417932.72000000009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73847.199999999997</v>
      </c>
      <c r="G205" s="18">
        <v>22616.7</v>
      </c>
      <c r="H205" s="18">
        <v>12628.6</v>
      </c>
      <c r="I205" s="18">
        <v>1424.03</v>
      </c>
      <c r="J205" s="18">
        <v>1251.3699999999999</v>
      </c>
      <c r="K205" s="18">
        <v>1451.47</v>
      </c>
      <c r="L205" s="19">
        <f t="shared" si="0"/>
        <v>113219.37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194503.72+20194.76</f>
        <v>214698.48</v>
      </c>
      <c r="G206" s="18">
        <f>85361.23+11092.99</f>
        <v>96454.22</v>
      </c>
      <c r="H206" s="18">
        <f>120367.6+17851.46</f>
        <v>138219.06</v>
      </c>
      <c r="I206" s="18">
        <f>168475.94+2742.85</f>
        <v>171218.79</v>
      </c>
      <c r="J206" s="18">
        <f>11068+810.35</f>
        <v>11878.35</v>
      </c>
      <c r="K206" s="18"/>
      <c r="L206" s="19">
        <f t="shared" si="0"/>
        <v>632468.9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806.38+153126.07+67809.34</f>
        <v>221741.79</v>
      </c>
      <c r="I207" s="18"/>
      <c r="J207" s="18"/>
      <c r="K207" s="18"/>
      <c r="L207" s="19">
        <f t="shared" si="0"/>
        <v>221741.79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62441.54</v>
      </c>
      <c r="G208" s="18">
        <v>46175.75</v>
      </c>
      <c r="H208" s="18">
        <f>16956.24+14259.5</f>
        <v>31215.74</v>
      </c>
      <c r="I208" s="18">
        <f>9647.96+6783.28</f>
        <v>16431.239999999998</v>
      </c>
      <c r="J208" s="18">
        <f>10871.03+11353.79</f>
        <v>22224.82</v>
      </c>
      <c r="K208" s="18"/>
      <c r="L208" s="19">
        <f>SUM(F208:K208)</f>
        <v>178489.09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3297280.2199999993</v>
      </c>
      <c r="G210" s="41">
        <f t="shared" si="1"/>
        <v>1271424.8699999999</v>
      </c>
      <c r="H210" s="41">
        <f t="shared" si="1"/>
        <v>570782.29</v>
      </c>
      <c r="I210" s="41">
        <f t="shared" si="1"/>
        <v>301702.08</v>
      </c>
      <c r="J210" s="41">
        <f t="shared" si="1"/>
        <v>53639.31</v>
      </c>
      <c r="K210" s="41">
        <f t="shared" si="1"/>
        <v>16412.34</v>
      </c>
      <c r="L210" s="41">
        <f t="shared" si="1"/>
        <v>5511241.1100000003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1721275.29+12786.92</f>
        <v>1734062.21</v>
      </c>
      <c r="G214" s="18">
        <f>760094.75+2083.84</f>
        <v>762178.59</v>
      </c>
      <c r="H214" s="18">
        <v>23017.74</v>
      </c>
      <c r="I214" s="18">
        <v>59904.4</v>
      </c>
      <c r="J214" s="18">
        <v>2466.31</v>
      </c>
      <c r="K214" s="18">
        <v>374</v>
      </c>
      <c r="L214" s="19">
        <f>SUM(F214:K214)</f>
        <v>2582003.25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383984+22763.42</f>
        <v>406747.42</v>
      </c>
      <c r="G215" s="18">
        <f>99923.52+2939.6</f>
        <v>102863.12000000001</v>
      </c>
      <c r="H215" s="18">
        <f>185141.38+69600.64</f>
        <v>254742.02000000002</v>
      </c>
      <c r="I215" s="18">
        <f>1954.04+55.82</f>
        <v>2009.86</v>
      </c>
      <c r="J215" s="18">
        <v>399</v>
      </c>
      <c r="K215" s="18">
        <v>6411.97</v>
      </c>
      <c r="L215" s="19">
        <f>SUM(F215:K215)</f>
        <v>773173.39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48794.32</v>
      </c>
      <c r="G217" s="18">
        <v>6953.03</v>
      </c>
      <c r="H217" s="18">
        <v>4825</v>
      </c>
      <c r="I217" s="18">
        <v>3428.82</v>
      </c>
      <c r="J217" s="18"/>
      <c r="K217" s="18">
        <v>1005</v>
      </c>
      <c r="L217" s="19">
        <f>SUM(F217:K217)</f>
        <v>65006.17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183047.34+133949.44</f>
        <v>316996.78000000003</v>
      </c>
      <c r="G219" s="18">
        <f>58962.96+54059.08</f>
        <v>113022.04000000001</v>
      </c>
      <c r="H219" s="18">
        <f>2486.93+20829.53</f>
        <v>23316.46</v>
      </c>
      <c r="I219" s="18">
        <f>1806.27+5234.88</f>
        <v>7041.15</v>
      </c>
      <c r="J219" s="18">
        <v>139.65</v>
      </c>
      <c r="K219" s="18"/>
      <c r="L219" s="19">
        <f t="shared" ref="L219:L225" si="2">SUM(F219:K219)</f>
        <v>460516.08000000013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38404+23434.45</f>
        <v>61838.45</v>
      </c>
      <c r="G220" s="18">
        <f>9912.35+18267.87</f>
        <v>28180.22</v>
      </c>
      <c r="H220" s="18">
        <f>3182.34+8476.37</f>
        <v>11658.710000000001</v>
      </c>
      <c r="I220" s="18">
        <f>5788.61+1243.75</f>
        <v>7032.36</v>
      </c>
      <c r="J220" s="18">
        <v>86</v>
      </c>
      <c r="K220" s="18">
        <v>1754.66</v>
      </c>
      <c r="L220" s="19">
        <f t="shared" si="2"/>
        <v>110550.40000000001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119506.83</v>
      </c>
      <c r="G221" s="18">
        <v>43919.69</v>
      </c>
      <c r="H221" s="18">
        <v>28602.080000000002</v>
      </c>
      <c r="I221" s="18">
        <v>1637.86</v>
      </c>
      <c r="J221" s="18">
        <v>1302.18</v>
      </c>
      <c r="K221" s="18">
        <v>4217.1899999999996</v>
      </c>
      <c r="L221" s="19">
        <f t="shared" si="2"/>
        <v>199185.83000000002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262294.87</v>
      </c>
      <c r="G222" s="18">
        <v>111575.65</v>
      </c>
      <c r="H222" s="18">
        <v>8955.8700000000008</v>
      </c>
      <c r="I222" s="18">
        <v>2298.7399999999998</v>
      </c>
      <c r="J222" s="18"/>
      <c r="K222" s="18">
        <v>5434.97</v>
      </c>
      <c r="L222" s="19">
        <f t="shared" si="2"/>
        <v>390560.1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67331.27</v>
      </c>
      <c r="G223" s="18">
        <v>20621.11</v>
      </c>
      <c r="H223" s="18">
        <v>11514.31</v>
      </c>
      <c r="I223" s="18">
        <v>1298.3800000000001</v>
      </c>
      <c r="J223" s="18">
        <v>1140.96</v>
      </c>
      <c r="K223" s="18">
        <v>1323.4</v>
      </c>
      <c r="L223" s="19">
        <f t="shared" si="2"/>
        <v>103229.43000000001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129613.44+24402</f>
        <v>154015.44</v>
      </c>
      <c r="G224" s="18">
        <f>57566.06+13404.03</f>
        <v>70970.09</v>
      </c>
      <c r="H224" s="18">
        <f>176933.61+21570.52</f>
        <v>198504.12999999998</v>
      </c>
      <c r="I224" s="18">
        <f>150717+3314.28</f>
        <v>154031.28</v>
      </c>
      <c r="J224" s="18">
        <f>913.96+979.53</f>
        <v>1893.49</v>
      </c>
      <c r="K224" s="18"/>
      <c r="L224" s="19">
        <f t="shared" si="2"/>
        <v>579414.42999999993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11326.99+157264.61+81371.2</f>
        <v>249962.8</v>
      </c>
      <c r="I225" s="18"/>
      <c r="J225" s="18"/>
      <c r="K225" s="18"/>
      <c r="L225" s="19">
        <f t="shared" si="2"/>
        <v>249962.8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56931.99</v>
      </c>
      <c r="G226" s="18">
        <v>42101.42</v>
      </c>
      <c r="H226" s="18">
        <f>18185.75+13001.31</f>
        <v>31187.059999999998</v>
      </c>
      <c r="I226" s="18">
        <f>20774.74+6184.75</f>
        <v>26959.49</v>
      </c>
      <c r="J226" s="18">
        <f>56636.11+10517.92</f>
        <v>67154.03</v>
      </c>
      <c r="K226" s="18"/>
      <c r="L226" s="19">
        <f>SUM(F226:K226)</f>
        <v>224333.99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3228519.58</v>
      </c>
      <c r="G228" s="41">
        <f>SUM(G214:G227)</f>
        <v>1302384.96</v>
      </c>
      <c r="H228" s="41">
        <f>SUM(H214:H227)</f>
        <v>846286.18000000017</v>
      </c>
      <c r="I228" s="41">
        <f>SUM(I214:I227)</f>
        <v>265642.34000000003</v>
      </c>
      <c r="J228" s="41">
        <f>SUM(J214:J227)</f>
        <v>74581.62</v>
      </c>
      <c r="K228" s="41">
        <f t="shared" si="3"/>
        <v>20521.190000000002</v>
      </c>
      <c r="L228" s="41">
        <f t="shared" si="3"/>
        <v>5737935.8699999992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1810731.6+12056.24+13084.52</f>
        <v>1835872.36</v>
      </c>
      <c r="G232" s="18">
        <f>748881.82+1964.77</f>
        <v>750846.59</v>
      </c>
      <c r="H232" s="18">
        <v>29253.040000000001</v>
      </c>
      <c r="I232" s="18">
        <v>101938.07</v>
      </c>
      <c r="J232" s="18">
        <v>13021.2</v>
      </c>
      <c r="K232" s="18">
        <v>3611.5</v>
      </c>
      <c r="L232" s="19">
        <f>SUM(F232:K232)</f>
        <v>2734542.7600000002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329829+17407.32+0.69</f>
        <v>347237.01</v>
      </c>
      <c r="G233" s="18">
        <f>76750.09+2247.93</f>
        <v>78998.01999999999</v>
      </c>
      <c r="H233" s="18">
        <f>626485.36+53224.02</f>
        <v>679709.38</v>
      </c>
      <c r="I233" s="18">
        <f>3170.8+42.69</f>
        <v>3213.4900000000002</v>
      </c>
      <c r="J233" s="18">
        <v>898</v>
      </c>
      <c r="K233" s="18">
        <v>4903.2700000000004</v>
      </c>
      <c r="L233" s="19">
        <f>SUM(F233:K233)</f>
        <v>1114959.1700000002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21476.2</v>
      </c>
      <c r="I234" s="18"/>
      <c r="J234" s="18"/>
      <c r="K234" s="18"/>
      <c r="L234" s="19">
        <f>SUM(F234:K234)</f>
        <v>21476.2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219279.91</v>
      </c>
      <c r="G235" s="18">
        <v>53020.42</v>
      </c>
      <c r="H235" s="18">
        <v>61761.06</v>
      </c>
      <c r="I235" s="18">
        <v>35761.040000000001</v>
      </c>
      <c r="J235" s="18">
        <v>3879.71</v>
      </c>
      <c r="K235" s="18">
        <v>14428.51</v>
      </c>
      <c r="L235" s="19">
        <f>SUM(F235:K235)</f>
        <v>388130.65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299431.61+126295.18</f>
        <v>425726.79</v>
      </c>
      <c r="G237" s="18">
        <f>112027.24+50969.99</f>
        <v>162997.23000000001</v>
      </c>
      <c r="H237" s="18">
        <f>33674.94+19639.27</f>
        <v>53314.210000000006</v>
      </c>
      <c r="I237" s="18">
        <f>4738.35+4935.73</f>
        <v>9674.08</v>
      </c>
      <c r="J237" s="18">
        <f>3342.88+131.67</f>
        <v>3474.55</v>
      </c>
      <c r="K237" s="18">
        <v>530</v>
      </c>
      <c r="L237" s="19">
        <f t="shared" ref="L237:L243" si="4">SUM(F237:K237)</f>
        <v>655716.86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76585.33+26458.25</f>
        <v>103043.58</v>
      </c>
      <c r="G238" s="18">
        <f>34013.48+20625.02</f>
        <v>54638.5</v>
      </c>
      <c r="H238" s="18">
        <f>33915.16+9570.1</f>
        <v>43485.26</v>
      </c>
      <c r="I238" s="18">
        <f>26054.37+1404.23</f>
        <v>27458.6</v>
      </c>
      <c r="J238" s="18">
        <v>11324.03</v>
      </c>
      <c r="K238" s="18">
        <v>1981.07</v>
      </c>
      <c r="L238" s="19">
        <f t="shared" si="4"/>
        <v>241931.04000000004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105208.01</v>
      </c>
      <c r="G239" s="18">
        <v>37874.93</v>
      </c>
      <c r="H239" s="18">
        <v>26716.15</v>
      </c>
      <c r="I239" s="18">
        <v>1494.08</v>
      </c>
      <c r="J239" s="18">
        <v>1150.28</v>
      </c>
      <c r="K239" s="18">
        <v>3941.11</v>
      </c>
      <c r="L239" s="19">
        <f t="shared" si="4"/>
        <v>176384.55999999997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286952.18</v>
      </c>
      <c r="G240" s="18">
        <v>124747.95</v>
      </c>
      <c r="H240" s="18">
        <v>16653.45</v>
      </c>
      <c r="I240" s="18">
        <v>2345.54</v>
      </c>
      <c r="J240" s="18">
        <v>1111.8499999999999</v>
      </c>
      <c r="K240" s="18">
        <v>14983.09</v>
      </c>
      <c r="L240" s="19">
        <f t="shared" si="4"/>
        <v>446794.06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76019.179999999993</v>
      </c>
      <c r="G241" s="18">
        <v>23281.9</v>
      </c>
      <c r="H241" s="18">
        <v>13000.03</v>
      </c>
      <c r="I241" s="18">
        <v>1465.92</v>
      </c>
      <c r="J241" s="18">
        <v>1288.18</v>
      </c>
      <c r="K241" s="18">
        <v>1494.16</v>
      </c>
      <c r="L241" s="19">
        <f t="shared" si="4"/>
        <v>116549.36999999998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184471.3+39548.07</f>
        <v>224019.37</v>
      </c>
      <c r="G242" s="18">
        <f>87576.18+21723.78</f>
        <v>109299.95999999999</v>
      </c>
      <c r="H242" s="18">
        <f>159291.81+34959.11</f>
        <v>194250.91999999998</v>
      </c>
      <c r="I242" s="18">
        <f>261334.58+5371.42</f>
        <v>266706</v>
      </c>
      <c r="J242" s="18">
        <f>12300+1587.52</f>
        <v>13887.52</v>
      </c>
      <c r="K242" s="18"/>
      <c r="L242" s="19">
        <f t="shared" si="4"/>
        <v>808163.77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82367+103463.56+122056.8</f>
        <v>307887.35999999999</v>
      </c>
      <c r="I243" s="18"/>
      <c r="J243" s="18"/>
      <c r="K243" s="18"/>
      <c r="L243" s="19">
        <f t="shared" si="4"/>
        <v>307887.35999999999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64278.05-1092.73</f>
        <v>63185.32</v>
      </c>
      <c r="G244" s="18">
        <v>47533.86</v>
      </c>
      <c r="H244" s="18">
        <f>21113.33+14678.9</f>
        <v>35792.230000000003</v>
      </c>
      <c r="I244" s="18">
        <f>10894.9+6982.78</f>
        <v>17877.68</v>
      </c>
      <c r="J244" s="18">
        <f>3957.09+11875.07</f>
        <v>15832.16</v>
      </c>
      <c r="K244" s="18"/>
      <c r="L244" s="19">
        <f>SUM(F244:K244)</f>
        <v>180221.25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3686543.7100000004</v>
      </c>
      <c r="G246" s="41">
        <f t="shared" si="5"/>
        <v>1443239.3599999999</v>
      </c>
      <c r="H246" s="41">
        <f t="shared" si="5"/>
        <v>1483299.29</v>
      </c>
      <c r="I246" s="41">
        <f t="shared" si="5"/>
        <v>467934.5</v>
      </c>
      <c r="J246" s="41">
        <f t="shared" si="5"/>
        <v>65867.48</v>
      </c>
      <c r="K246" s="41">
        <f t="shared" si="5"/>
        <v>45872.710000000006</v>
      </c>
      <c r="L246" s="41">
        <f t="shared" si="5"/>
        <v>7192757.0500000017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f>22150.55+224.87</f>
        <v>22375.42</v>
      </c>
      <c r="G249" s="18">
        <v>3817.93</v>
      </c>
      <c r="H249" s="18"/>
      <c r="I249" s="18"/>
      <c r="J249" s="18"/>
      <c r="K249" s="18"/>
      <c r="L249" s="19">
        <f t="shared" ref="L249:L254" si="6">SUM(F249:K249)</f>
        <v>26193.35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161974</v>
      </c>
      <c r="I254" s="18"/>
      <c r="J254" s="18">
        <v>32392</v>
      </c>
      <c r="K254" s="18"/>
      <c r="L254" s="19">
        <f t="shared" si="6"/>
        <v>194366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22375.42</v>
      </c>
      <c r="G255" s="41">
        <f t="shared" si="7"/>
        <v>3817.93</v>
      </c>
      <c r="H255" s="41">
        <f t="shared" si="7"/>
        <v>161974</v>
      </c>
      <c r="I255" s="41">
        <f t="shared" si="7"/>
        <v>0</v>
      </c>
      <c r="J255" s="41">
        <f t="shared" si="7"/>
        <v>32392</v>
      </c>
      <c r="K255" s="41">
        <f t="shared" si="7"/>
        <v>0</v>
      </c>
      <c r="L255" s="41">
        <f>SUM(F255:K255)</f>
        <v>220559.35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10234718.93</v>
      </c>
      <c r="G256" s="41">
        <f t="shared" si="8"/>
        <v>4020867.12</v>
      </c>
      <c r="H256" s="41">
        <f t="shared" si="8"/>
        <v>3062341.7600000002</v>
      </c>
      <c r="I256" s="41">
        <f t="shared" si="8"/>
        <v>1035278.92</v>
      </c>
      <c r="J256" s="41">
        <f t="shared" si="8"/>
        <v>226480.40999999997</v>
      </c>
      <c r="K256" s="41">
        <f t="shared" si="8"/>
        <v>82806.240000000005</v>
      </c>
      <c r="L256" s="41">
        <f t="shared" si="8"/>
        <v>18662493.380000003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800000</v>
      </c>
      <c r="L259" s="19">
        <f>SUM(F259:K259)</f>
        <v>800000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109463</v>
      </c>
      <c r="L260" s="19">
        <f>SUM(F260:K260)</f>
        <v>109463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909463</v>
      </c>
      <c r="L269" s="41">
        <f t="shared" si="9"/>
        <v>909463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10234718.93</v>
      </c>
      <c r="G270" s="42">
        <f t="shared" si="11"/>
        <v>4020867.12</v>
      </c>
      <c r="H270" s="42">
        <f t="shared" si="11"/>
        <v>3062341.7600000002</v>
      </c>
      <c r="I270" s="42">
        <f t="shared" si="11"/>
        <v>1035278.92</v>
      </c>
      <c r="J270" s="42">
        <f t="shared" si="11"/>
        <v>226480.40999999997</v>
      </c>
      <c r="K270" s="42">
        <f t="shared" si="11"/>
        <v>992269.24</v>
      </c>
      <c r="L270" s="42">
        <f t="shared" si="11"/>
        <v>19571956.380000003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25838.62</v>
      </c>
      <c r="G275" s="18">
        <v>2725.27</v>
      </c>
      <c r="H275" s="18">
        <v>10734.08</v>
      </c>
      <c r="I275" s="18">
        <v>5769.9</v>
      </c>
      <c r="J275" s="18"/>
      <c r="K275" s="18"/>
      <c r="L275" s="19">
        <f>SUM(F275:K275)</f>
        <v>45067.87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8434.41</v>
      </c>
      <c r="G276" s="18">
        <v>927.89</v>
      </c>
      <c r="H276" s="18">
        <v>4403.66</v>
      </c>
      <c r="I276" s="18">
        <v>4950.41</v>
      </c>
      <c r="J276" s="18"/>
      <c r="K276" s="18"/>
      <c r="L276" s="19">
        <f>SUM(F276:K276)</f>
        <v>18716.37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22222.04</v>
      </c>
      <c r="G280" s="18">
        <v>10672.06</v>
      </c>
      <c r="H280" s="18">
        <v>1488.8</v>
      </c>
      <c r="I280" s="18">
        <v>57.41</v>
      </c>
      <c r="J280" s="18"/>
      <c r="K280" s="18"/>
      <c r="L280" s="19">
        <f t="shared" ref="L280:L286" si="12">SUM(F280:K280)</f>
        <v>34440.310000000005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>
        <v>135.81</v>
      </c>
      <c r="L287" s="19">
        <f>SUM(F287:K287)</f>
        <v>135.81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56495.07</v>
      </c>
      <c r="G289" s="42">
        <f t="shared" si="13"/>
        <v>14325.22</v>
      </c>
      <c r="H289" s="42">
        <f t="shared" si="13"/>
        <v>16626.54</v>
      </c>
      <c r="I289" s="42">
        <f t="shared" si="13"/>
        <v>10777.72</v>
      </c>
      <c r="J289" s="42">
        <f t="shared" si="13"/>
        <v>0</v>
      </c>
      <c r="K289" s="42">
        <f t="shared" si="13"/>
        <v>135.81</v>
      </c>
      <c r="L289" s="41">
        <f t="shared" si="13"/>
        <v>98360.360000000015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49863.05</v>
      </c>
      <c r="G294" s="18">
        <v>5477.63</v>
      </c>
      <c r="H294" s="18">
        <v>6875.73</v>
      </c>
      <c r="I294" s="18">
        <v>882.65</v>
      </c>
      <c r="J294" s="18"/>
      <c r="K294" s="18"/>
      <c r="L294" s="19">
        <f>SUM(F294:K294)</f>
        <v>63099.060000000005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73809.350000000006</v>
      </c>
      <c r="G295" s="18">
        <v>19232.28</v>
      </c>
      <c r="H295" s="18">
        <v>3743.11</v>
      </c>
      <c r="I295" s="18">
        <v>76.849999999999994</v>
      </c>
      <c r="J295" s="18"/>
      <c r="K295" s="18"/>
      <c r="L295" s="19">
        <f>SUM(F295:K295)</f>
        <v>96861.590000000011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22637.040000000001</v>
      </c>
      <c r="G299" s="18">
        <v>10964.75</v>
      </c>
      <c r="H299" s="18">
        <v>1628.38</v>
      </c>
      <c r="I299" s="18">
        <v>62.79</v>
      </c>
      <c r="J299" s="18"/>
      <c r="K299" s="18"/>
      <c r="L299" s="19">
        <f t="shared" ref="L299:L305" si="14">SUM(F299:K299)</f>
        <v>35292.959999999999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>
        <v>123.82</v>
      </c>
      <c r="L306" s="19">
        <f>SUM(F306:K306)</f>
        <v>123.82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146309.44</v>
      </c>
      <c r="G308" s="42">
        <f t="shared" si="15"/>
        <v>35674.660000000003</v>
      </c>
      <c r="H308" s="42">
        <f t="shared" si="15"/>
        <v>12247.220000000001</v>
      </c>
      <c r="I308" s="42">
        <f t="shared" si="15"/>
        <v>1022.29</v>
      </c>
      <c r="J308" s="42">
        <f t="shared" si="15"/>
        <v>0</v>
      </c>
      <c r="K308" s="42">
        <f t="shared" si="15"/>
        <v>123.82</v>
      </c>
      <c r="L308" s="41">
        <f t="shared" si="15"/>
        <v>195377.43000000002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21120.71</v>
      </c>
      <c r="G313" s="18">
        <v>2061.65</v>
      </c>
      <c r="H313" s="18">
        <v>6482.83</v>
      </c>
      <c r="I313" s="18">
        <v>1247.1300000000001</v>
      </c>
      <c r="J313" s="18"/>
      <c r="K313" s="18">
        <v>2127.29</v>
      </c>
      <c r="L313" s="19">
        <f>SUM(F313:K313)</f>
        <v>33039.61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63290.58</v>
      </c>
      <c r="G314" s="18">
        <v>30488.04</v>
      </c>
      <c r="H314" s="18">
        <v>2862.38</v>
      </c>
      <c r="I314" s="18">
        <v>58.77</v>
      </c>
      <c r="J314" s="18"/>
      <c r="K314" s="18"/>
      <c r="L314" s="19">
        <f>SUM(F314:K314)</f>
        <v>96699.77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21343.48</v>
      </c>
      <c r="G318" s="18">
        <v>10338.19</v>
      </c>
      <c r="H318" s="18">
        <v>1535.33</v>
      </c>
      <c r="I318" s="18">
        <v>59.2</v>
      </c>
      <c r="J318" s="18"/>
      <c r="K318" s="18"/>
      <c r="L318" s="19">
        <f t="shared" ref="L318:L324" si="16">SUM(F318:K318)</f>
        <v>33276.199999999997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300</v>
      </c>
      <c r="I319" s="18"/>
      <c r="J319" s="18"/>
      <c r="K319" s="18"/>
      <c r="L319" s="19">
        <f t="shared" si="16"/>
        <v>300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>
        <v>139.80000000000001</v>
      </c>
      <c r="L325" s="19">
        <f>SUM(F325:K325)</f>
        <v>139.80000000000001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105754.77</v>
      </c>
      <c r="G327" s="42">
        <f t="shared" si="17"/>
        <v>42887.880000000005</v>
      </c>
      <c r="H327" s="42">
        <f t="shared" si="17"/>
        <v>11180.539999999999</v>
      </c>
      <c r="I327" s="42">
        <f t="shared" si="17"/>
        <v>1365.1000000000001</v>
      </c>
      <c r="J327" s="42">
        <f t="shared" si="17"/>
        <v>0</v>
      </c>
      <c r="K327" s="42">
        <f t="shared" si="17"/>
        <v>2267.09</v>
      </c>
      <c r="L327" s="41">
        <f t="shared" si="17"/>
        <v>163455.38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308559.28000000003</v>
      </c>
      <c r="G337" s="41">
        <f t="shared" si="20"/>
        <v>92887.760000000009</v>
      </c>
      <c r="H337" s="41">
        <f t="shared" si="20"/>
        <v>40054.300000000003</v>
      </c>
      <c r="I337" s="41">
        <f t="shared" si="20"/>
        <v>13165.109999999999</v>
      </c>
      <c r="J337" s="41">
        <f t="shared" si="20"/>
        <v>0</v>
      </c>
      <c r="K337" s="41">
        <f t="shared" si="20"/>
        <v>2526.7200000000003</v>
      </c>
      <c r="L337" s="41">
        <f t="shared" si="20"/>
        <v>457193.17000000004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308559.28000000003</v>
      </c>
      <c r="G351" s="41">
        <f>G337</f>
        <v>92887.760000000009</v>
      </c>
      <c r="H351" s="41">
        <f>H337</f>
        <v>40054.300000000003</v>
      </c>
      <c r="I351" s="41">
        <f>I337</f>
        <v>13165.109999999999</v>
      </c>
      <c r="J351" s="41">
        <f>J337</f>
        <v>0</v>
      </c>
      <c r="K351" s="47">
        <f>K337+K350</f>
        <v>2526.7200000000003</v>
      </c>
      <c r="L351" s="41">
        <f>L337+L350</f>
        <v>457193.17000000004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33577.46+18781.54</f>
        <v>52359</v>
      </c>
      <c r="G357" s="18">
        <f>3543.5+4253.52</f>
        <v>7797.02</v>
      </c>
      <c r="H357" s="18">
        <f>1605.62+649.1</f>
        <v>2254.7199999999998</v>
      </c>
      <c r="I357" s="18">
        <f>50325+128+7208.98+769.17</f>
        <v>58431.149999999994</v>
      </c>
      <c r="J357" s="18">
        <v>212.8</v>
      </c>
      <c r="K357" s="18">
        <f>288.5+59.98</f>
        <v>348.48</v>
      </c>
      <c r="L357" s="13">
        <f>SUM(F357:K357)</f>
        <v>121403.17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39813.9+20542.31</f>
        <v>60356.210000000006</v>
      </c>
      <c r="G358" s="18">
        <f>3972.67+4652.29</f>
        <v>8624.9599999999991</v>
      </c>
      <c r="H358" s="18">
        <f>2807.09+709.96</f>
        <v>3517.05</v>
      </c>
      <c r="I358" s="18">
        <f>94885.32+140+7884.82+0.08</f>
        <v>102910.22000000002</v>
      </c>
      <c r="J358" s="18">
        <v>115.78</v>
      </c>
      <c r="K358" s="18">
        <f>252.5+65.6</f>
        <v>318.10000000000002</v>
      </c>
      <c r="L358" s="19">
        <f>SUM(F358:K358)</f>
        <v>175842.32000000004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58259.17+19368.46</f>
        <v>77627.63</v>
      </c>
      <c r="G359" s="18">
        <f>23147.08+4158.07</f>
        <v>27305.15</v>
      </c>
      <c r="H359" s="18">
        <f>6044.82+669.39+228.37</f>
        <v>6942.58</v>
      </c>
      <c r="I359" s="18">
        <f>119924.33+132+7434.26</f>
        <v>127490.59</v>
      </c>
      <c r="J359" s="18">
        <v>1705.59</v>
      </c>
      <c r="K359" s="18">
        <f>290.25+61.85</f>
        <v>352.1</v>
      </c>
      <c r="L359" s="19">
        <f>SUM(F359:K359)</f>
        <v>241423.64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190342.84000000003</v>
      </c>
      <c r="G361" s="47">
        <f t="shared" si="22"/>
        <v>43727.130000000005</v>
      </c>
      <c r="H361" s="47">
        <f t="shared" si="22"/>
        <v>12714.35</v>
      </c>
      <c r="I361" s="47">
        <f t="shared" si="22"/>
        <v>288831.95999999996</v>
      </c>
      <c r="J361" s="47">
        <f t="shared" si="22"/>
        <v>2034.17</v>
      </c>
      <c r="K361" s="47">
        <f t="shared" si="22"/>
        <v>1018.6800000000001</v>
      </c>
      <c r="L361" s="47">
        <f t="shared" si="22"/>
        <v>538669.13000000012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46951.94+7583.04</f>
        <v>54534.98</v>
      </c>
      <c r="G366" s="18">
        <f>91000+8293.95</f>
        <v>99293.95</v>
      </c>
      <c r="H366" s="18">
        <f>114573.53+7820.23</f>
        <v>122393.76</v>
      </c>
      <c r="I366" s="56">
        <f>SUM(F366:H366)</f>
        <v>276222.69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3373.15</v>
      </c>
      <c r="G367" s="63">
        <v>3885.32</v>
      </c>
      <c r="H367" s="63">
        <v>5350.8</v>
      </c>
      <c r="I367" s="56">
        <f>SUM(F367:H367)</f>
        <v>12609.27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57908.130000000005</v>
      </c>
      <c r="G368" s="47">
        <f>SUM(G366:G367)</f>
        <v>103179.27</v>
      </c>
      <c r="H368" s="47">
        <f>SUM(H366:H367)</f>
        <v>127744.56</v>
      </c>
      <c r="I368" s="47">
        <f>SUM(I366:I367)</f>
        <v>288831.96000000002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149.81</v>
      </c>
      <c r="I395" s="18"/>
      <c r="J395" s="24" t="s">
        <v>289</v>
      </c>
      <c r="K395" s="24" t="s">
        <v>289</v>
      </c>
      <c r="L395" s="56">
        <f t="shared" si="26"/>
        <v>149.81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385.33</v>
      </c>
      <c r="I396" s="18"/>
      <c r="J396" s="24" t="s">
        <v>289</v>
      </c>
      <c r="K396" s="24" t="s">
        <v>289</v>
      </c>
      <c r="L396" s="56">
        <f t="shared" si="26"/>
        <v>385.33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535.14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535.14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535.14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535.14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52000</v>
      </c>
      <c r="L414" s="56">
        <f t="shared" si="27"/>
        <v>52000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52000</v>
      </c>
      <c r="L418" s="47">
        <f t="shared" si="28"/>
        <v>52000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52000</v>
      </c>
      <c r="L433" s="47">
        <f t="shared" si="32"/>
        <v>52000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104235.92</v>
      </c>
      <c r="H438" s="18"/>
      <c r="I438" s="56">
        <f t="shared" ref="I438:I444" si="33">SUM(F438:H438)</f>
        <v>104235.92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104235.92</v>
      </c>
      <c r="H445" s="13">
        <f>SUM(H438:H444)</f>
        <v>0</v>
      </c>
      <c r="I445" s="13">
        <f>SUM(I438:I444)</f>
        <v>104235.92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104235.92</v>
      </c>
      <c r="H458" s="18"/>
      <c r="I458" s="56">
        <f t="shared" si="34"/>
        <v>104235.92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104235.92</v>
      </c>
      <c r="H459" s="83">
        <f>SUM(H453:H458)</f>
        <v>0</v>
      </c>
      <c r="I459" s="83">
        <f>SUM(I453:I458)</f>
        <v>104235.92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104235.92</v>
      </c>
      <c r="H460" s="42">
        <f>H451+H459</f>
        <v>0</v>
      </c>
      <c r="I460" s="42">
        <f>I451+I459</f>
        <v>104235.92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614083.27</v>
      </c>
      <c r="G464" s="18">
        <f>78438.25+769.17</f>
        <v>79207.42</v>
      </c>
      <c r="H464" s="18">
        <v>0</v>
      </c>
      <c r="I464" s="18"/>
      <c r="J464" s="18">
        <v>155700.78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19465570.16</v>
      </c>
      <c r="G467" s="18">
        <v>530313.29</v>
      </c>
      <c r="H467" s="18">
        <v>457193.17</v>
      </c>
      <c r="I467" s="18"/>
      <c r="J467" s="18">
        <v>535.14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19465570.16</v>
      </c>
      <c r="G469" s="53">
        <f>SUM(G467:G468)</f>
        <v>530313.29</v>
      </c>
      <c r="H469" s="53">
        <f>SUM(H467:H468)</f>
        <v>457193.17</v>
      </c>
      <c r="I469" s="53">
        <f>SUM(I467:I468)</f>
        <v>0</v>
      </c>
      <c r="J469" s="53">
        <f>SUM(J467:J468)</f>
        <v>535.14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19571956.379999999</v>
      </c>
      <c r="G471" s="18">
        <f>537899.96+769.17</f>
        <v>538669.13</v>
      </c>
      <c r="H471" s="18">
        <v>457193.17</v>
      </c>
      <c r="I471" s="18"/>
      <c r="J471" s="18">
        <v>52000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19571956.379999999</v>
      </c>
      <c r="G473" s="53">
        <f>SUM(G471:G472)</f>
        <v>538669.13</v>
      </c>
      <c r="H473" s="53">
        <f>SUM(H471:H472)</f>
        <v>457193.17</v>
      </c>
      <c r="I473" s="53">
        <f>SUM(I471:I472)</f>
        <v>0</v>
      </c>
      <c r="J473" s="53">
        <f>SUM(J471:J472)</f>
        <v>52000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507697.05000000075</v>
      </c>
      <c r="G475" s="53">
        <f>(G464+G469)- G473</f>
        <v>70851.580000000075</v>
      </c>
      <c r="H475" s="53">
        <f>(H464+H469)- H473</f>
        <v>0</v>
      </c>
      <c r="I475" s="53">
        <f>(I464+I469)- I473</f>
        <v>0</v>
      </c>
      <c r="J475" s="53">
        <f>(J464+J469)- J473</f>
        <v>104235.92000000001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11685000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5.14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2085000</v>
      </c>
      <c r="G494" s="18"/>
      <c r="H494" s="18"/>
      <c r="I494" s="18"/>
      <c r="J494" s="18"/>
      <c r="K494" s="53">
        <f>SUM(F494:J494)</f>
        <v>2085000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800000</v>
      </c>
      <c r="G496" s="18"/>
      <c r="H496" s="18"/>
      <c r="I496" s="18"/>
      <c r="J496" s="18"/>
      <c r="K496" s="53">
        <f t="shared" si="35"/>
        <v>800000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1285000</v>
      </c>
      <c r="G497" s="204"/>
      <c r="H497" s="204"/>
      <c r="I497" s="204"/>
      <c r="J497" s="204"/>
      <c r="K497" s="205">
        <f t="shared" si="35"/>
        <v>1285000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92925</v>
      </c>
      <c r="G498" s="18"/>
      <c r="H498" s="18"/>
      <c r="I498" s="18"/>
      <c r="J498" s="18"/>
      <c r="K498" s="53">
        <f t="shared" si="35"/>
        <v>92925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1377925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1377925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497572.9</v>
      </c>
      <c r="G520" s="18">
        <v>122723.03</v>
      </c>
      <c r="H520" s="18">
        <v>238.75</v>
      </c>
      <c r="I520" s="18">
        <v>4512.42</v>
      </c>
      <c r="J520" s="18">
        <v>2588.62</v>
      </c>
      <c r="K520" s="18">
        <v>89</v>
      </c>
      <c r="L520" s="88">
        <f>SUM(F520:K520)</f>
        <v>627724.72000000009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383984</v>
      </c>
      <c r="G521" s="18">
        <v>99923.520000000004</v>
      </c>
      <c r="H521" s="18">
        <v>185141.38</v>
      </c>
      <c r="I521" s="18">
        <v>1954.07</v>
      </c>
      <c r="J521" s="18">
        <v>399</v>
      </c>
      <c r="K521" s="18">
        <v>0</v>
      </c>
      <c r="L521" s="88">
        <f>SUM(F521:K521)</f>
        <v>671401.97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329829.7</v>
      </c>
      <c r="G522" s="18">
        <v>76750.09</v>
      </c>
      <c r="H522" s="18">
        <v>626485.36</v>
      </c>
      <c r="I522" s="18">
        <v>3107.8</v>
      </c>
      <c r="J522" s="18">
        <v>898</v>
      </c>
      <c r="K522" s="18">
        <v>0</v>
      </c>
      <c r="L522" s="88">
        <f>SUM(F522:K522)</f>
        <v>1037070.9500000001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1211386.6000000001</v>
      </c>
      <c r="G523" s="108">
        <f t="shared" ref="G523:L523" si="36">SUM(G520:G522)</f>
        <v>299396.64</v>
      </c>
      <c r="H523" s="108">
        <f t="shared" si="36"/>
        <v>811865.49</v>
      </c>
      <c r="I523" s="108">
        <f t="shared" si="36"/>
        <v>9574.2900000000009</v>
      </c>
      <c r="J523" s="108">
        <f t="shared" si="36"/>
        <v>3885.62</v>
      </c>
      <c r="K523" s="108">
        <f t="shared" si="36"/>
        <v>89</v>
      </c>
      <c r="L523" s="89">
        <f t="shared" si="36"/>
        <v>2336197.64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167499.94</v>
      </c>
      <c r="G525" s="18">
        <v>67905.38</v>
      </c>
      <c r="H525" s="18">
        <v>26185.69</v>
      </c>
      <c r="I525" s="18">
        <v>1630.99</v>
      </c>
      <c r="J525" s="18">
        <v>175.56</v>
      </c>
      <c r="K525" s="18"/>
      <c r="L525" s="88">
        <f>SUM(F525:K525)</f>
        <v>263397.56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114204.5</v>
      </c>
      <c r="G526" s="18">
        <v>46299.13</v>
      </c>
      <c r="H526" s="18">
        <v>17853.88</v>
      </c>
      <c r="I526" s="18">
        <v>1112.04</v>
      </c>
      <c r="J526" s="18">
        <v>119.7</v>
      </c>
      <c r="K526" s="18"/>
      <c r="L526" s="88">
        <f>SUM(F526:K526)</f>
        <v>179589.25000000003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98977.24</v>
      </c>
      <c r="G527" s="18">
        <v>40125.910000000003</v>
      </c>
      <c r="H527" s="18">
        <v>15473.36</v>
      </c>
      <c r="I527" s="18">
        <v>963</v>
      </c>
      <c r="J527" s="18">
        <v>103.74</v>
      </c>
      <c r="K527" s="18"/>
      <c r="L527" s="88">
        <f>SUM(F527:K527)</f>
        <v>155643.25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380681.68</v>
      </c>
      <c r="G528" s="89">
        <f t="shared" ref="G528:L528" si="37">SUM(G525:G527)</f>
        <v>154330.42000000001</v>
      </c>
      <c r="H528" s="89">
        <f t="shared" si="37"/>
        <v>59512.93</v>
      </c>
      <c r="I528" s="89">
        <f t="shared" si="37"/>
        <v>3706.0299999999997</v>
      </c>
      <c r="J528" s="89">
        <f t="shared" si="37"/>
        <v>399</v>
      </c>
      <c r="K528" s="89">
        <f t="shared" si="37"/>
        <v>0</v>
      </c>
      <c r="L528" s="89">
        <f t="shared" si="37"/>
        <v>598630.06000000006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53028.97</v>
      </c>
      <c r="G530" s="18">
        <v>25095.63</v>
      </c>
      <c r="H530" s="18">
        <v>1785.54</v>
      </c>
      <c r="I530" s="18">
        <v>356.28</v>
      </c>
      <c r="J530" s="18">
        <v>550.12</v>
      </c>
      <c r="K530" s="18">
        <v>249.19</v>
      </c>
      <c r="L530" s="88">
        <f>SUM(F530:K530)</f>
        <v>81065.73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36996.959999999999</v>
      </c>
      <c r="G531" s="18">
        <v>17508.580000000002</v>
      </c>
      <c r="H531" s="18">
        <v>1245.73</v>
      </c>
      <c r="I531" s="18">
        <v>248.57</v>
      </c>
      <c r="J531" s="18">
        <v>383.81</v>
      </c>
      <c r="K531" s="18">
        <v>173.85</v>
      </c>
      <c r="L531" s="88">
        <f>SUM(F531:K531)</f>
        <v>56557.5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33297.26</v>
      </c>
      <c r="G532" s="18">
        <v>15757.72</v>
      </c>
      <c r="H532" s="18">
        <v>1121.53</v>
      </c>
      <c r="I532" s="18">
        <v>223.71</v>
      </c>
      <c r="J532" s="18">
        <v>345.42</v>
      </c>
      <c r="K532" s="18"/>
      <c r="L532" s="88">
        <f>SUM(F532:K532)</f>
        <v>50745.64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 t="shared" ref="F533:K533" si="38">SUM(F530:F532)</f>
        <v>123323.19</v>
      </c>
      <c r="G533" s="89">
        <f t="shared" si="38"/>
        <v>58361.930000000008</v>
      </c>
      <c r="H533" s="89">
        <f t="shared" si="38"/>
        <v>4152.8</v>
      </c>
      <c r="I533" s="89">
        <f t="shared" si="38"/>
        <v>828.56</v>
      </c>
      <c r="J533" s="89">
        <f t="shared" si="38"/>
        <v>1279.3500000000001</v>
      </c>
      <c r="K533" s="89">
        <f t="shared" si="38"/>
        <v>423.03999999999996</v>
      </c>
      <c r="L533" s="89">
        <f t="shared" ref="L533" si="39">SUM(L530:L532)</f>
        <v>188368.87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471.8</v>
      </c>
      <c r="I537" s="18"/>
      <c r="J537" s="18"/>
      <c r="K537" s="18"/>
      <c r="L537" s="88">
        <f>SUM(F537:K537)</f>
        <v>471.8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 t="shared" ref="F538:K538" si="40">SUM(F535:F537)</f>
        <v>0</v>
      </c>
      <c r="G538" s="89">
        <f t="shared" si="40"/>
        <v>0</v>
      </c>
      <c r="H538" s="89">
        <f t="shared" si="40"/>
        <v>471.8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ref="L538" si="41">SUM(L535:L537)</f>
        <v>471.8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116632.06</v>
      </c>
      <c r="I540" s="18"/>
      <c r="J540" s="18"/>
      <c r="K540" s="18"/>
      <c r="L540" s="88">
        <f>SUM(F540:K540)</f>
        <v>116632.06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81371.199999999997</v>
      </c>
      <c r="I541" s="18"/>
      <c r="J541" s="18"/>
      <c r="K541" s="18"/>
      <c r="L541" s="88">
        <f>SUM(F541:K541)</f>
        <v>81371.199999999997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73234.080000000002</v>
      </c>
      <c r="I542" s="18"/>
      <c r="J542" s="18"/>
      <c r="K542" s="18"/>
      <c r="L542" s="88">
        <f>SUM(F542:K542)</f>
        <v>73234.080000000002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2">SUM(G540:G542)</f>
        <v>0</v>
      </c>
      <c r="H543" s="193">
        <f t="shared" si="42"/>
        <v>271237.34000000003</v>
      </c>
      <c r="I543" s="193">
        <f t="shared" si="42"/>
        <v>0</v>
      </c>
      <c r="J543" s="193">
        <f t="shared" si="42"/>
        <v>0</v>
      </c>
      <c r="K543" s="193">
        <f t="shared" si="42"/>
        <v>0</v>
      </c>
      <c r="L543" s="193">
        <f t="shared" si="42"/>
        <v>271237.34000000003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1715391.47</v>
      </c>
      <c r="G544" s="89">
        <f t="shared" ref="G544:L544" si="43">G523+G528+G533+G538+G543</f>
        <v>512088.99000000005</v>
      </c>
      <c r="H544" s="89">
        <f t="shared" si="43"/>
        <v>1147240.3600000001</v>
      </c>
      <c r="I544" s="89">
        <f t="shared" si="43"/>
        <v>14108.88</v>
      </c>
      <c r="J544" s="89">
        <f t="shared" si="43"/>
        <v>5563.97</v>
      </c>
      <c r="K544" s="89">
        <f t="shared" si="43"/>
        <v>512.04</v>
      </c>
      <c r="L544" s="89">
        <f t="shared" si="43"/>
        <v>3394905.71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627724.72000000009</v>
      </c>
      <c r="G548" s="87">
        <f>L525</f>
        <v>263397.56</v>
      </c>
      <c r="H548" s="87">
        <f>L530</f>
        <v>81065.73</v>
      </c>
      <c r="I548" s="87">
        <f>L535</f>
        <v>0</v>
      </c>
      <c r="J548" s="87">
        <f>L540</f>
        <v>116632.06</v>
      </c>
      <c r="K548" s="87">
        <f>SUM(F548:J548)</f>
        <v>1088820.07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671401.97</v>
      </c>
      <c r="G549" s="87">
        <f>L526</f>
        <v>179589.25000000003</v>
      </c>
      <c r="H549" s="87">
        <f>L531</f>
        <v>56557.5</v>
      </c>
      <c r="I549" s="87">
        <f>L536</f>
        <v>0</v>
      </c>
      <c r="J549" s="87">
        <f>L541</f>
        <v>81371.199999999997</v>
      </c>
      <c r="K549" s="87">
        <f>SUM(F549:J549)</f>
        <v>988919.91999999993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1037070.9500000001</v>
      </c>
      <c r="G550" s="87">
        <f>L527</f>
        <v>155643.25</v>
      </c>
      <c r="H550" s="87">
        <f>L532</f>
        <v>50745.64</v>
      </c>
      <c r="I550" s="87">
        <f>L537</f>
        <v>471.8</v>
      </c>
      <c r="J550" s="87">
        <f>L542</f>
        <v>73234.080000000002</v>
      </c>
      <c r="K550" s="87">
        <f>SUM(F550:J550)</f>
        <v>1317165.7200000002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4">SUM(F548:F550)</f>
        <v>2336197.64</v>
      </c>
      <c r="G551" s="89">
        <f t="shared" si="44"/>
        <v>598630.06000000006</v>
      </c>
      <c r="H551" s="89">
        <f t="shared" si="44"/>
        <v>188368.87</v>
      </c>
      <c r="I551" s="89">
        <f t="shared" si="44"/>
        <v>471.8</v>
      </c>
      <c r="J551" s="89">
        <f t="shared" si="44"/>
        <v>271237.34000000003</v>
      </c>
      <c r="K551" s="89">
        <f t="shared" si="44"/>
        <v>3394905.71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5">SUM(F556:F558)</f>
        <v>0</v>
      </c>
      <c r="G559" s="108">
        <f t="shared" si="45"/>
        <v>0</v>
      </c>
      <c r="H559" s="108">
        <f t="shared" si="45"/>
        <v>0</v>
      </c>
      <c r="I559" s="108">
        <f t="shared" si="45"/>
        <v>0</v>
      </c>
      <c r="J559" s="108">
        <f t="shared" si="45"/>
        <v>0</v>
      </c>
      <c r="K559" s="108">
        <f t="shared" si="45"/>
        <v>0</v>
      </c>
      <c r="L559" s="89">
        <f t="shared" si="45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2867.67</v>
      </c>
      <c r="G561" s="18">
        <v>227.7</v>
      </c>
      <c r="H561" s="18">
        <v>94.95</v>
      </c>
      <c r="I561" s="18">
        <v>14.78</v>
      </c>
      <c r="J561" s="18"/>
      <c r="K561" s="18"/>
      <c r="L561" s="88">
        <f>SUM(F561:K561)</f>
        <v>3205.1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12745.18</v>
      </c>
      <c r="G562" s="18">
        <v>1011.98</v>
      </c>
      <c r="H562" s="18">
        <v>422</v>
      </c>
      <c r="I562" s="18">
        <v>65.67</v>
      </c>
      <c r="J562" s="18"/>
      <c r="K562" s="18"/>
      <c r="L562" s="88">
        <f>SUM(F562:K562)</f>
        <v>14244.83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16250.1</v>
      </c>
      <c r="G563" s="18">
        <v>1290.28</v>
      </c>
      <c r="H563" s="18">
        <v>538.04999999999995</v>
      </c>
      <c r="I563" s="18">
        <v>83.73</v>
      </c>
      <c r="J563" s="18"/>
      <c r="K563" s="18"/>
      <c r="L563" s="88">
        <f>SUM(F563:K563)</f>
        <v>18162.16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6">SUM(F561:F563)</f>
        <v>31862.95</v>
      </c>
      <c r="G564" s="89">
        <f t="shared" si="46"/>
        <v>2529.96</v>
      </c>
      <c r="H564" s="89">
        <f t="shared" si="46"/>
        <v>1055</v>
      </c>
      <c r="I564" s="89">
        <f t="shared" si="46"/>
        <v>164.18</v>
      </c>
      <c r="J564" s="89">
        <f t="shared" si="46"/>
        <v>0</v>
      </c>
      <c r="K564" s="89">
        <f t="shared" si="46"/>
        <v>0</v>
      </c>
      <c r="L564" s="89">
        <f t="shared" si="46"/>
        <v>35612.089999999997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7">SUM(G566:G568)</f>
        <v>0</v>
      </c>
      <c r="H569" s="193">
        <f t="shared" si="47"/>
        <v>0</v>
      </c>
      <c r="I569" s="193">
        <f t="shared" si="47"/>
        <v>0</v>
      </c>
      <c r="J569" s="193">
        <f t="shared" si="47"/>
        <v>0</v>
      </c>
      <c r="K569" s="193">
        <f t="shared" si="47"/>
        <v>0</v>
      </c>
      <c r="L569" s="193">
        <f t="shared" si="47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31862.95</v>
      </c>
      <c r="G570" s="89">
        <f t="shared" ref="G570:L570" si="48">G559+G564+G569</f>
        <v>2529.96</v>
      </c>
      <c r="H570" s="89">
        <f t="shared" si="48"/>
        <v>1055</v>
      </c>
      <c r="I570" s="89">
        <f t="shared" si="48"/>
        <v>164.18</v>
      </c>
      <c r="J570" s="89">
        <f t="shared" si="48"/>
        <v>0</v>
      </c>
      <c r="K570" s="89">
        <f t="shared" si="48"/>
        <v>0</v>
      </c>
      <c r="L570" s="89">
        <f t="shared" si="48"/>
        <v>35612.089999999997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8975</v>
      </c>
      <c r="I574" s="87">
        <f>SUM(F574:H574)</f>
        <v>8975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9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9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10670.4</v>
      </c>
      <c r="I578" s="87">
        <f t="shared" si="49"/>
        <v>10670.4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9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212400</v>
      </c>
      <c r="H581" s="18">
        <f>230790.39+72161.5</f>
        <v>302951.89</v>
      </c>
      <c r="I581" s="87">
        <f t="shared" si="49"/>
        <v>515351.89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254651.75</v>
      </c>
      <c r="I582" s="87">
        <f t="shared" si="49"/>
        <v>254651.75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21476.2</v>
      </c>
      <c r="I583" s="87">
        <f>SUM(F583:H583)</f>
        <v>21476.2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4"/>
      <c r="I584" s="87">
        <f t="shared" si="49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143648.81+9477.26</f>
        <v>153126.07</v>
      </c>
      <c r="I590" s="18">
        <f>147787.35+9477.26</f>
        <v>157264.61000000002</v>
      </c>
      <c r="J590" s="18">
        <f>105863.91-2401.32</f>
        <v>103462.59</v>
      </c>
      <c r="K590" s="104">
        <f t="shared" ref="K590:K596" si="50">SUM(H590:J590)</f>
        <v>413853.27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67809.34</v>
      </c>
      <c r="I591" s="18">
        <v>81371.199999999997</v>
      </c>
      <c r="J591" s="18">
        <v>122056.8</v>
      </c>
      <c r="K591" s="104">
        <f t="shared" si="50"/>
        <v>271237.33999999997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30389.57</v>
      </c>
      <c r="K592" s="104">
        <f t="shared" si="50"/>
        <v>30389.57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9497.27</v>
      </c>
      <c r="J593" s="18">
        <v>44397.26</v>
      </c>
      <c r="K593" s="104">
        <f t="shared" si="50"/>
        <v>53894.53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806.38</v>
      </c>
      <c r="I594" s="18">
        <v>1829.72</v>
      </c>
      <c r="J594" s="18">
        <v>7581.14</v>
      </c>
      <c r="K594" s="104">
        <f t="shared" si="50"/>
        <v>10217.24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0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221741.79</v>
      </c>
      <c r="I597" s="108">
        <f>SUM(I590:I596)</f>
        <v>249962.8</v>
      </c>
      <c r="J597" s="108">
        <f>SUM(J590:J596)</f>
        <v>307887.36000000004</v>
      </c>
      <c r="K597" s="108">
        <f>SUM(K590:K596)</f>
        <v>779591.95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>
        <v>2767</v>
      </c>
      <c r="K602" s="104">
        <f>SUM(H602:J602)</f>
        <v>2767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53639.31</v>
      </c>
      <c r="I603" s="18">
        <v>74581.62</v>
      </c>
      <c r="J603" s="18">
        <v>63100.480000000003</v>
      </c>
      <c r="K603" s="104">
        <f>SUM(H603:J603)</f>
        <v>191321.41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53639.31</v>
      </c>
      <c r="I604" s="108">
        <f>SUM(I601:I603)</f>
        <v>74581.62</v>
      </c>
      <c r="J604" s="108">
        <f>SUM(J601:J603)</f>
        <v>65867.48000000001</v>
      </c>
      <c r="K604" s="108">
        <f>SUM(K601:K603)</f>
        <v>194088.41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10411</v>
      </c>
      <c r="G610" s="18">
        <v>1687.94</v>
      </c>
      <c r="H610" s="18"/>
      <c r="I610" s="18"/>
      <c r="J610" s="18"/>
      <c r="K610" s="18"/>
      <c r="L610" s="88">
        <f>SUM(F610:K610)</f>
        <v>12098.94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21864.5</v>
      </c>
      <c r="G611" s="18">
        <v>3616.52</v>
      </c>
      <c r="H611" s="18"/>
      <c r="I611" s="18"/>
      <c r="J611" s="18"/>
      <c r="K611" s="18"/>
      <c r="L611" s="88">
        <f>SUM(F611:K611)</f>
        <v>25481.02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10459.1</v>
      </c>
      <c r="G612" s="18">
        <v>1101.71</v>
      </c>
      <c r="H612" s="18"/>
      <c r="I612" s="18"/>
      <c r="J612" s="18"/>
      <c r="K612" s="18"/>
      <c r="L612" s="88">
        <f>SUM(F612:K612)</f>
        <v>11560.810000000001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1">SUM(F610:F612)</f>
        <v>42734.6</v>
      </c>
      <c r="G613" s="108">
        <f t="shared" si="51"/>
        <v>6406.17</v>
      </c>
      <c r="H613" s="108">
        <f t="shared" si="51"/>
        <v>0</v>
      </c>
      <c r="I613" s="108">
        <f t="shared" si="51"/>
        <v>0</v>
      </c>
      <c r="J613" s="108">
        <f t="shared" si="51"/>
        <v>0</v>
      </c>
      <c r="K613" s="108">
        <f t="shared" si="51"/>
        <v>0</v>
      </c>
      <c r="L613" s="89">
        <f t="shared" si="51"/>
        <v>49140.770000000004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1223342.22</v>
      </c>
      <c r="H616" s="109">
        <f>SUM(F51)</f>
        <v>1223342.22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80738.89</v>
      </c>
      <c r="H617" s="109">
        <f>SUM(G51)</f>
        <v>80738.89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91566.37</v>
      </c>
      <c r="H618" s="109">
        <f>SUM(H51)</f>
        <v>91566.37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104235.92</v>
      </c>
      <c r="H620" s="109">
        <f>SUM(J51)</f>
        <v>104235.92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507697.05000000005</v>
      </c>
      <c r="H621" s="109">
        <f>F475</f>
        <v>507697.05000000075</v>
      </c>
      <c r="I621" s="121" t="s">
        <v>101</v>
      </c>
      <c r="J621" s="109">
        <f t="shared" ref="J621:J654" si="52">G621-H621</f>
        <v>-6.9849193096160889E-10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70851.58</v>
      </c>
      <c r="H622" s="109">
        <f>G475</f>
        <v>70851.580000000075</v>
      </c>
      <c r="I622" s="121" t="s">
        <v>102</v>
      </c>
      <c r="J622" s="109">
        <f t="shared" si="52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104235.92</v>
      </c>
      <c r="H625" s="109">
        <f>J475</f>
        <v>104235.92000000001</v>
      </c>
      <c r="I625" s="140" t="s">
        <v>105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19465570.16</v>
      </c>
      <c r="H626" s="104">
        <f>SUM(F467)</f>
        <v>19465570.16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530313.29</v>
      </c>
      <c r="H627" s="104">
        <f>SUM(G467)</f>
        <v>530313.29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457193.17</v>
      </c>
      <c r="H628" s="104">
        <f>SUM(H467)</f>
        <v>457193.17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535.14</v>
      </c>
      <c r="H630" s="104">
        <f>SUM(J467)</f>
        <v>535.14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19571956.380000003</v>
      </c>
      <c r="H631" s="104">
        <f>SUM(F471)</f>
        <v>19571956.379999999</v>
      </c>
      <c r="I631" s="140" t="s">
        <v>111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457193.17000000004</v>
      </c>
      <c r="H632" s="104">
        <f>SUM(H471)</f>
        <v>457193.17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288831.95999999996</v>
      </c>
      <c r="H633" s="104">
        <f>I368</f>
        <v>288831.96000000002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538669.13000000012</v>
      </c>
      <c r="H634" s="104">
        <f>SUM(G471)</f>
        <v>538669.13</v>
      </c>
      <c r="I634" s="140" t="s">
        <v>114</v>
      </c>
      <c r="J634" s="109">
        <f t="shared" si="52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2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535.14</v>
      </c>
      <c r="H636" s="164">
        <f>SUM(J467)</f>
        <v>535.14</v>
      </c>
      <c r="I636" s="165" t="s">
        <v>110</v>
      </c>
      <c r="J636" s="151">
        <f t="shared" si="52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52000</v>
      </c>
      <c r="H637" s="164">
        <f>SUM(J471)</f>
        <v>52000</v>
      </c>
      <c r="I637" s="165" t="s">
        <v>117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104235.92</v>
      </c>
      <c r="H639" s="104">
        <f>SUM(G460)</f>
        <v>104235.92</v>
      </c>
      <c r="I639" s="140" t="s">
        <v>858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104235.92</v>
      </c>
      <c r="H641" s="104">
        <f>SUM(I460)</f>
        <v>104235.92</v>
      </c>
      <c r="I641" s="140" t="s">
        <v>860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535.14</v>
      </c>
      <c r="H643" s="104">
        <f>H407</f>
        <v>535.14</v>
      </c>
      <c r="I643" s="140" t="s">
        <v>481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535.14</v>
      </c>
      <c r="H645" s="104">
        <f>L407</f>
        <v>535.14</v>
      </c>
      <c r="I645" s="140" t="s">
        <v>478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779591.95</v>
      </c>
      <c r="H646" s="104">
        <f>L207+L225+L243</f>
        <v>779591.95</v>
      </c>
      <c r="I646" s="140" t="s">
        <v>397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194088.41</v>
      </c>
      <c r="H647" s="104">
        <f>(J256+J337)-(J254+J335)</f>
        <v>194088.40999999997</v>
      </c>
      <c r="I647" s="140" t="s">
        <v>703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221741.79</v>
      </c>
      <c r="H648" s="104">
        <f>H597</f>
        <v>221741.79</v>
      </c>
      <c r="I648" s="140" t="s">
        <v>389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249962.8</v>
      </c>
      <c r="H649" s="104">
        <f>I597</f>
        <v>249962.8</v>
      </c>
      <c r="I649" s="140" t="s">
        <v>390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307887.35999999999</v>
      </c>
      <c r="H650" s="104">
        <f>J597</f>
        <v>307887.36000000004</v>
      </c>
      <c r="I650" s="140" t="s">
        <v>391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5731004.6400000006</v>
      </c>
      <c r="G659" s="19">
        <f>(L228+L308+L358)</f>
        <v>6109155.6199999992</v>
      </c>
      <c r="H659" s="19">
        <f>(L246+L327+L359)</f>
        <v>7597636.0700000012</v>
      </c>
      <c r="I659" s="19">
        <f>SUM(F659:H659)</f>
        <v>19437796.330000002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95915.594024892227</v>
      </c>
      <c r="G660" s="19">
        <f>(L358/IF(SUM(L357:L359)=0,1,SUM(L357:L359))*(SUM(G96:G109)))</f>
        <v>138925.70167249496</v>
      </c>
      <c r="H660" s="19">
        <f>(L359/IF(SUM(L357:L359)=0,1,SUM(L357:L359))*(SUM(G96:G109)))</f>
        <v>190738.77430261279</v>
      </c>
      <c r="I660" s="19">
        <f>SUM(F660:H660)</f>
        <v>425580.06999999995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221741.79</v>
      </c>
      <c r="G661" s="19">
        <f>(L225+L305)-(J225+J305)</f>
        <v>249962.8</v>
      </c>
      <c r="H661" s="19">
        <f>(L243+L324)-(J243+J324)</f>
        <v>307887.35999999999</v>
      </c>
      <c r="I661" s="19">
        <f>SUM(F661:H661)</f>
        <v>779591.95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65738.25</v>
      </c>
      <c r="G662" s="199">
        <f>SUM(G574:G586)+SUM(I601:I603)+L611</f>
        <v>312462.64</v>
      </c>
      <c r="H662" s="199">
        <f>SUM(H574:H586)+SUM(J601:J603)+L612</f>
        <v>676153.53</v>
      </c>
      <c r="I662" s="19">
        <f>SUM(F662:H662)</f>
        <v>1054354.42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5347609.0059751086</v>
      </c>
      <c r="G663" s="19">
        <f>G659-SUM(G660:G662)</f>
        <v>5407804.4783275044</v>
      </c>
      <c r="H663" s="19">
        <f>H659-SUM(H660:H662)</f>
        <v>6422856.4056973886</v>
      </c>
      <c r="I663" s="19">
        <f>I659-SUM(I660:I662)</f>
        <v>17178269.890000001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455.17</v>
      </c>
      <c r="G664" s="248">
        <v>477.56</v>
      </c>
      <c r="H664" s="248">
        <v>491.71</v>
      </c>
      <c r="I664" s="19">
        <f>SUM(F664:H664)</f>
        <v>1424.44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11748.6</v>
      </c>
      <c r="G666" s="19">
        <f>ROUND(G663/G664,2)</f>
        <v>11323.82</v>
      </c>
      <c r="H666" s="19">
        <f>ROUND(H663/H664,2)</f>
        <v>13062.29</v>
      </c>
      <c r="I666" s="19">
        <f>ROUND(I663/I664,2)</f>
        <v>12059.67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-7.97</v>
      </c>
      <c r="I669" s="19">
        <f>SUM(F669:H669)</f>
        <v>-7.97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11748.6</v>
      </c>
      <c r="G671" s="19">
        <f>ROUND((G663+G668)/(G664+G669),2)</f>
        <v>11323.82</v>
      </c>
      <c r="H671" s="19">
        <f>ROUND((H663+H668)/(H664+H669),2)</f>
        <v>13277.5</v>
      </c>
      <c r="I671" s="19">
        <f>ROUND((I663+I668)/(I664+I669),2)</f>
        <v>12127.52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I28" sqref="I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LITCHFIELD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5349190.78</v>
      </c>
      <c r="C9" s="229">
        <f>'DOE25'!G196+'DOE25'!G214+'DOE25'!G232+'DOE25'!G275+'DOE25'!G294+'DOE25'!G313</f>
        <v>2182442.5199999996</v>
      </c>
    </row>
    <row r="10" spans="1:3" x14ac:dyDescent="0.2">
      <c r="A10" t="s">
        <v>779</v>
      </c>
      <c r="B10" s="240">
        <f>4906435.72+27997.5+13084.52</f>
        <v>4947517.7399999993</v>
      </c>
      <c r="C10" s="240">
        <f>1118322.32+82288.64+7574+11157.7+555073.19+88+371117.64</f>
        <v>2145621.4899999998</v>
      </c>
    </row>
    <row r="11" spans="1:3" x14ac:dyDescent="0.2">
      <c r="A11" t="s">
        <v>780</v>
      </c>
      <c r="B11" s="240">
        <f>81327.89+17701.6</f>
        <v>99029.489999999991</v>
      </c>
      <c r="C11" s="240">
        <v>7585.66</v>
      </c>
    </row>
    <row r="12" spans="1:3" x14ac:dyDescent="0.2">
      <c r="A12" t="s">
        <v>781</v>
      </c>
      <c r="B12" s="240">
        <f>76021.09+98708+76791.18+51123.28</f>
        <v>302643.55</v>
      </c>
      <c r="C12" s="240">
        <v>29235.37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5349190.7799999993</v>
      </c>
      <c r="C13" s="231">
        <f>SUM(C10:C12)</f>
        <v>2182442.52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1423872.1600000001</v>
      </c>
      <c r="C18" s="229">
        <f>'DOE25'!G197+'DOE25'!G215+'DOE25'!G233+'DOE25'!G276+'DOE25'!G295+'DOE25'!G314</f>
        <v>358690.73000000004</v>
      </c>
    </row>
    <row r="19" spans="1:3" x14ac:dyDescent="0.2">
      <c r="A19" t="s">
        <v>779</v>
      </c>
      <c r="B19" s="240">
        <f>539346.05+114170.19</f>
        <v>653516.24</v>
      </c>
      <c r="C19" s="240">
        <f>133117.8+8800.44+23794.83+1854.4+63161.64+12901.24+56051.12</f>
        <v>299681.46999999997</v>
      </c>
    </row>
    <row r="20" spans="1:3" x14ac:dyDescent="0.2">
      <c r="A20" t="s">
        <v>780</v>
      </c>
      <c r="B20" s="240">
        <f>652119.07+32937.24</f>
        <v>685056.30999999994</v>
      </c>
      <c r="C20" s="240">
        <v>52475.31</v>
      </c>
    </row>
    <row r="21" spans="1:3" x14ac:dyDescent="0.2">
      <c r="A21" t="s">
        <v>781</v>
      </c>
      <c r="B21" s="240">
        <v>85299.61</v>
      </c>
      <c r="C21" s="240">
        <v>6533.95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1423872.16</v>
      </c>
      <c r="C22" s="231">
        <f>SUM(C19:C21)</f>
        <v>358690.73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276281.11</v>
      </c>
      <c r="C36" s="235">
        <f>'DOE25'!G199+'DOE25'!G217+'DOE25'!G235+'DOE25'!G278+'DOE25'!G297+'DOE25'!G316</f>
        <v>61465.46</v>
      </c>
    </row>
    <row r="37" spans="1:3" x14ac:dyDescent="0.2">
      <c r="A37" t="s">
        <v>779</v>
      </c>
      <c r="B37" s="240">
        <f>205221.11</f>
        <v>205221.11</v>
      </c>
      <c r="C37" s="240">
        <f>20173.4+18990.91+16857.95</f>
        <v>56022.259999999995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70700+360</f>
        <v>71060</v>
      </c>
      <c r="C39" s="240">
        <v>5443.2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276281.11</v>
      </c>
      <c r="C40" s="231">
        <f>SUM(C37:C39)</f>
        <v>61465.459999999992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pane="bottomLeft" activeCell="J30" sqref="J3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LITCHFIELD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10889704.98</v>
      </c>
      <c r="D5" s="20">
        <f>SUM('DOE25'!L196:L199)+SUM('DOE25'!L214:L217)+SUM('DOE25'!L232:L235)-F5-G5</f>
        <v>10819765.4</v>
      </c>
      <c r="E5" s="243"/>
      <c r="F5" s="255">
        <f>SUM('DOE25'!J196:J199)+SUM('DOE25'!J214:J217)+SUM('DOE25'!J232:J235)</f>
        <v>31398.839999999997</v>
      </c>
      <c r="G5" s="53">
        <f>SUM('DOE25'!K196:K199)+SUM('DOE25'!K214:K217)+SUM('DOE25'!K232:K235)</f>
        <v>38540.74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1496530.9500000002</v>
      </c>
      <c r="D6" s="20">
        <f>'DOE25'!L201+'DOE25'!L219+'DOE25'!L237-F6-G6</f>
        <v>1490247.6700000002</v>
      </c>
      <c r="E6" s="243"/>
      <c r="F6" s="255">
        <f>'DOE25'!J201+'DOE25'!J219+'DOE25'!J237</f>
        <v>5753.2800000000007</v>
      </c>
      <c r="G6" s="53">
        <f>'DOE25'!K201+'DOE25'!K219+'DOE25'!K237</f>
        <v>530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510240.86000000004</v>
      </c>
      <c r="D7" s="20">
        <f>'DOE25'!L202+'DOE25'!L220+'DOE25'!L238-F7-G7</f>
        <v>489293.17000000004</v>
      </c>
      <c r="E7" s="243"/>
      <c r="F7" s="255">
        <f>'DOE25'!J202+'DOE25'!J220+'DOE25'!J238</f>
        <v>15287.490000000002</v>
      </c>
      <c r="G7" s="53">
        <f>'DOE25'!K202+'DOE25'!K220+'DOE25'!K238</f>
        <v>5660.2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206885.82999999996</v>
      </c>
      <c r="D8" s="243"/>
      <c r="E8" s="20">
        <f>'DOE25'!L203+'DOE25'!L221+'DOE25'!L239-F8-G8-D9-D11</f>
        <v>191063.07999999996</v>
      </c>
      <c r="F8" s="255">
        <f>'DOE25'!J203+'DOE25'!J221+'DOE25'!J239</f>
        <v>3757.0699999999997</v>
      </c>
      <c r="G8" s="53">
        <f>'DOE25'!K203+'DOE25'!K221+'DOE25'!K239</f>
        <v>12065.68</v>
      </c>
      <c r="H8" s="259"/>
    </row>
    <row r="9" spans="1:9" x14ac:dyDescent="0.2">
      <c r="A9" s="32">
        <v>2310</v>
      </c>
      <c r="B9" t="s">
        <v>818</v>
      </c>
      <c r="C9" s="245">
        <f t="shared" si="0"/>
        <v>91656.6</v>
      </c>
      <c r="D9" s="244">
        <v>91656.6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18360.900000000001</v>
      </c>
      <c r="D10" s="243"/>
      <c r="E10" s="244">
        <v>18360.900000000001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275946.38</v>
      </c>
      <c r="D11" s="244">
        <v>275946.38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1255286.8800000001</v>
      </c>
      <c r="D12" s="20">
        <f>'DOE25'!L204+'DOE25'!L222+'DOE25'!L240-F12-G12</f>
        <v>1232205.44</v>
      </c>
      <c r="E12" s="243"/>
      <c r="F12" s="255">
        <f>'DOE25'!J204+'DOE25'!J222+'DOE25'!J240</f>
        <v>1340.85</v>
      </c>
      <c r="G12" s="53">
        <f>'DOE25'!K204+'DOE25'!K222+'DOE25'!K240</f>
        <v>21740.59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332998.17</v>
      </c>
      <c r="D13" s="243"/>
      <c r="E13" s="20">
        <f>'DOE25'!L205+'DOE25'!L223+'DOE25'!L241-F13-G13</f>
        <v>325048.62999999995</v>
      </c>
      <c r="F13" s="255">
        <f>'DOE25'!J205+'DOE25'!J223+'DOE25'!J241</f>
        <v>3680.51</v>
      </c>
      <c r="G13" s="53">
        <f>'DOE25'!K205+'DOE25'!K223+'DOE25'!K241</f>
        <v>4269.03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2020047.1</v>
      </c>
      <c r="D14" s="20">
        <f>'DOE25'!L206+'DOE25'!L224+'DOE25'!L242-F14-G14</f>
        <v>1992387.74</v>
      </c>
      <c r="E14" s="243"/>
      <c r="F14" s="255">
        <f>'DOE25'!J206+'DOE25'!J224+'DOE25'!J242</f>
        <v>27659.360000000001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779591.95</v>
      </c>
      <c r="D15" s="20">
        <f>'DOE25'!L207+'DOE25'!L225+'DOE25'!L243-F15-G15</f>
        <v>779591.95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583044.32999999996</v>
      </c>
      <c r="D16" s="243"/>
      <c r="E16" s="20">
        <f>'DOE25'!L208+'DOE25'!L226+'DOE25'!L244-F16-G16</f>
        <v>477833.31999999995</v>
      </c>
      <c r="F16" s="255">
        <f>'DOE25'!J208+'DOE25'!J226+'DOE25'!J244</f>
        <v>105211.01000000001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194366</v>
      </c>
      <c r="D22" s="243"/>
      <c r="E22" s="243"/>
      <c r="F22" s="255">
        <f>'DOE25'!L254+'DOE25'!L335</f>
        <v>194366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909463</v>
      </c>
      <c r="D25" s="243"/>
      <c r="E25" s="243"/>
      <c r="F25" s="258"/>
      <c r="G25" s="256"/>
      <c r="H25" s="257">
        <f>'DOE25'!L259+'DOE25'!L260+'DOE25'!L340+'DOE25'!L341</f>
        <v>909463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262446.44000000012</v>
      </c>
      <c r="D29" s="20">
        <f>'DOE25'!L357+'DOE25'!L358+'DOE25'!L359-'DOE25'!I366-F29-G29</f>
        <v>259393.59000000011</v>
      </c>
      <c r="E29" s="243"/>
      <c r="F29" s="255">
        <f>'DOE25'!J357+'DOE25'!J358+'DOE25'!J359</f>
        <v>2034.17</v>
      </c>
      <c r="G29" s="53">
        <f>'DOE25'!K357+'DOE25'!K358+'DOE25'!K359</f>
        <v>1018.6800000000001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457193.17000000004</v>
      </c>
      <c r="D31" s="20">
        <f>'DOE25'!L289+'DOE25'!L308+'DOE25'!L327+'DOE25'!L332+'DOE25'!L333+'DOE25'!L334-F31-G31</f>
        <v>454666.45000000007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2526.7200000000003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17885154.390000001</v>
      </c>
      <c r="E33" s="246">
        <f>SUM(E5:E31)</f>
        <v>1012305.9299999998</v>
      </c>
      <c r="F33" s="246">
        <f>SUM(F5:F31)</f>
        <v>390488.58</v>
      </c>
      <c r="G33" s="246">
        <f>SUM(G5:G31)</f>
        <v>86351.639999999985</v>
      </c>
      <c r="H33" s="246">
        <f>SUM(H5:H31)</f>
        <v>909463</v>
      </c>
    </row>
    <row r="35" spans="2:8" ht="12" thickBot="1" x14ac:dyDescent="0.25">
      <c r="B35" s="253" t="s">
        <v>847</v>
      </c>
      <c r="D35" s="254">
        <f>E33</f>
        <v>1012305.9299999998</v>
      </c>
      <c r="E35" s="249"/>
    </row>
    <row r="36" spans="2:8" ht="12" thickTop="1" x14ac:dyDescent="0.2">
      <c r="B36" t="s">
        <v>815</v>
      </c>
      <c r="D36" s="20">
        <f>D33</f>
        <v>17885154.390000001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LITCHFIELD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1149274.5</v>
      </c>
      <c r="D8" s="95">
        <f>'DOE25'!G9</f>
        <v>64877.9</v>
      </c>
      <c r="E8" s="95">
        <f>'DOE25'!H9</f>
        <v>0</v>
      </c>
      <c r="F8" s="95">
        <f>'DOE25'!I9</f>
        <v>0</v>
      </c>
      <c r="G8" s="95">
        <f>'DOE25'!J9</f>
        <v>104235.92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32331.43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15800.09</v>
      </c>
      <c r="D12" s="95">
        <f>'DOE25'!G13</f>
        <v>15860.99</v>
      </c>
      <c r="E12" s="95">
        <f>'DOE25'!H13</f>
        <v>91566.37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25936.2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1223342.22</v>
      </c>
      <c r="D18" s="41">
        <f>SUM(D8:D17)</f>
        <v>80738.89</v>
      </c>
      <c r="E18" s="41">
        <f>SUM(E8:E17)</f>
        <v>91566.37</v>
      </c>
      <c r="F18" s="41">
        <f>SUM(F8:F17)</f>
        <v>0</v>
      </c>
      <c r="G18" s="41">
        <f>SUM(G8:G17)</f>
        <v>104235.92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64874.87</v>
      </c>
      <c r="D21" s="95">
        <f>'DOE25'!G22</f>
        <v>0</v>
      </c>
      <c r="E21" s="95">
        <f>'DOE25'!H22</f>
        <v>32331.43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44636.97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52092.83</v>
      </c>
      <c r="D27" s="95">
        <f>'DOE25'!G28</f>
        <v>21.01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554040.5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9866.2999999999993</v>
      </c>
      <c r="E29" s="95">
        <f>'DOE25'!H30</f>
        <v>59234.94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715645.16999999993</v>
      </c>
      <c r="D31" s="41">
        <f>SUM(D21:D30)</f>
        <v>9887.31</v>
      </c>
      <c r="E31" s="41">
        <f>SUM(E21:E30)</f>
        <v>91566.37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70851.58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104235.92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140101.21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367595.84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507697.05000000005</v>
      </c>
      <c r="D49" s="41">
        <f>SUM(D34:D48)</f>
        <v>70851.58</v>
      </c>
      <c r="E49" s="41">
        <f>SUM(E34:E48)</f>
        <v>0</v>
      </c>
      <c r="F49" s="41">
        <f>SUM(F34:F48)</f>
        <v>0</v>
      </c>
      <c r="G49" s="41">
        <f>SUM(G34:G48)</f>
        <v>104235.92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1223342.22</v>
      </c>
      <c r="D50" s="41">
        <f>D49+D31</f>
        <v>80738.89</v>
      </c>
      <c r="E50" s="41">
        <f>E49+E31</f>
        <v>91566.37</v>
      </c>
      <c r="F50" s="41">
        <f>F49+F31</f>
        <v>0</v>
      </c>
      <c r="G50" s="41">
        <f>G49+G31</f>
        <v>104235.92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10405248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65947.649999999994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12255.08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987.32</v>
      </c>
      <c r="D58" s="95">
        <f>'DOE25'!G95</f>
        <v>21.63</v>
      </c>
      <c r="E58" s="95">
        <f>'DOE25'!H95</f>
        <v>0</v>
      </c>
      <c r="F58" s="95">
        <f>'DOE25'!I95</f>
        <v>0</v>
      </c>
      <c r="G58" s="95">
        <f>'DOE25'!J95</f>
        <v>535.14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425580.07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209394.58000000002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288584.63</v>
      </c>
      <c r="D61" s="130">
        <f>SUM(D56:D60)</f>
        <v>425601.7</v>
      </c>
      <c r="E61" s="130">
        <f>SUM(E56:E60)</f>
        <v>0</v>
      </c>
      <c r="F61" s="130">
        <f>SUM(F56:F60)</f>
        <v>0</v>
      </c>
      <c r="G61" s="130">
        <f>SUM(G56:G60)</f>
        <v>535.14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10693832.630000001</v>
      </c>
      <c r="D62" s="22">
        <f>D55+D61</f>
        <v>425601.7</v>
      </c>
      <c r="E62" s="22">
        <f>E55+E61</f>
        <v>0</v>
      </c>
      <c r="F62" s="22">
        <f>F55+F61</f>
        <v>0</v>
      </c>
      <c r="G62" s="22">
        <f>G55+G61</f>
        <v>535.14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6147683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1847398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7995081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260786.84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86250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198275.81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6756.83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5541.44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552069.47999999986</v>
      </c>
      <c r="D77" s="130">
        <f>SUM(D71:D76)</f>
        <v>5541.44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8547150.4800000004</v>
      </c>
      <c r="D80" s="130">
        <f>SUM(D78:D79)+D77+D69</f>
        <v>5541.44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318288.05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172587.05</v>
      </c>
      <c r="D87" s="95">
        <f>SUM('DOE25'!G152:G160)</f>
        <v>99170.15</v>
      </c>
      <c r="E87" s="95">
        <f>SUM('DOE25'!H152:H160)</f>
        <v>138905.12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172587.05</v>
      </c>
      <c r="D90" s="131">
        <f>SUM(D84:D89)</f>
        <v>99170.15</v>
      </c>
      <c r="E90" s="131">
        <f>SUM(E84:E89)</f>
        <v>457193.17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52000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52000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19465570.16</v>
      </c>
      <c r="D103" s="86">
        <f>D62+D80+D90+D102</f>
        <v>530313.29</v>
      </c>
      <c r="E103" s="86">
        <f>E62+E80+E90+E102</f>
        <v>457193.17</v>
      </c>
      <c r="F103" s="86">
        <f>F62+F80+F90+F102</f>
        <v>0</v>
      </c>
      <c r="G103" s="86">
        <f>G62+G80+G102</f>
        <v>535.14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7768007.4199999999</v>
      </c>
      <c r="D108" s="24" t="s">
        <v>289</v>
      </c>
      <c r="E108" s="95">
        <f>('DOE25'!L275)+('DOE25'!L294)+('DOE25'!L313)</f>
        <v>141206.54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2635588.38</v>
      </c>
      <c r="D109" s="24" t="s">
        <v>289</v>
      </c>
      <c r="E109" s="95">
        <f>('DOE25'!L276)+('DOE25'!L295)+('DOE25'!L314)</f>
        <v>212277.73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21476.2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464632.98000000004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26193.35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10915898.33</v>
      </c>
      <c r="D114" s="86">
        <f>SUM(D108:D113)</f>
        <v>0</v>
      </c>
      <c r="E114" s="86">
        <f>SUM(E108:E113)</f>
        <v>353484.27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1496530.9500000002</v>
      </c>
      <c r="D117" s="24" t="s">
        <v>289</v>
      </c>
      <c r="E117" s="95">
        <f>+('DOE25'!L280)+('DOE25'!L299)+('DOE25'!L318)</f>
        <v>103009.47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510240.86000000004</v>
      </c>
      <c r="D118" s="24" t="s">
        <v>289</v>
      </c>
      <c r="E118" s="95">
        <f>+('DOE25'!L281)+('DOE25'!L300)+('DOE25'!L319)</f>
        <v>300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574488.80999999994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1255286.8800000001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332998.17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2020047.1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779591.95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583044.32999999996</v>
      </c>
      <c r="D124" s="24" t="s">
        <v>289</v>
      </c>
      <c r="E124" s="95">
        <f>+('DOE25'!L287)+('DOE25'!L306)+('DOE25'!L325)</f>
        <v>399.43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538669.13000000012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7552229.0499999998</v>
      </c>
      <c r="D127" s="86">
        <f>SUM(D117:D126)</f>
        <v>538669.13000000012</v>
      </c>
      <c r="E127" s="86">
        <f>SUM(E117:E126)</f>
        <v>103708.9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194366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800000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109463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52000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535.14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-535.14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1103829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52000</v>
      </c>
    </row>
    <row r="144" spans="1:7" ht="12.75" thickTop="1" thickBot="1" x14ac:dyDescent="0.25">
      <c r="A144" s="33" t="s">
        <v>244</v>
      </c>
      <c r="C144" s="86">
        <f>(C114+C127+C143)</f>
        <v>19571956.379999999</v>
      </c>
      <c r="D144" s="86">
        <f>(D114+D127+D143)</f>
        <v>538669.13000000012</v>
      </c>
      <c r="E144" s="86">
        <f>(E114+E127+E143)</f>
        <v>457193.17000000004</v>
      </c>
      <c r="F144" s="86">
        <f>(F114+F127+F143)</f>
        <v>0</v>
      </c>
      <c r="G144" s="86">
        <f>(G114+G127+G143)</f>
        <v>52000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08/2000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02/2015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11685000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5.14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2085000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2085000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800000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800000</v>
      </c>
    </row>
    <row r="158" spans="1:9" x14ac:dyDescent="0.2">
      <c r="A158" s="22" t="s">
        <v>35</v>
      </c>
      <c r="B158" s="137">
        <f>'DOE25'!F497</f>
        <v>1285000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1285000</v>
      </c>
    </row>
    <row r="159" spans="1:9" x14ac:dyDescent="0.2">
      <c r="A159" s="22" t="s">
        <v>36</v>
      </c>
      <c r="B159" s="137">
        <f>'DOE25'!F498</f>
        <v>92925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92925</v>
      </c>
    </row>
    <row r="160" spans="1:9" x14ac:dyDescent="0.2">
      <c r="A160" s="22" t="s">
        <v>37</v>
      </c>
      <c r="B160" s="137">
        <f>'DOE25'!F499</f>
        <v>1377925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1377925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K12" sqref="K1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LITCHFIELD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11749</v>
      </c>
    </row>
    <row r="5" spans="1:4" x14ac:dyDescent="0.2">
      <c r="B5" t="s">
        <v>704</v>
      </c>
      <c r="C5" s="179">
        <f>IF('DOE25'!G664+'DOE25'!G669=0,0,ROUND('DOE25'!G671,0))</f>
        <v>11324</v>
      </c>
    </row>
    <row r="6" spans="1:4" x14ac:dyDescent="0.2">
      <c r="B6" t="s">
        <v>62</v>
      </c>
      <c r="C6" s="179">
        <f>IF('DOE25'!H664+'DOE25'!H669=0,0,ROUND('DOE25'!H671,0))</f>
        <v>13278</v>
      </c>
    </row>
    <row r="7" spans="1:4" x14ac:dyDescent="0.2">
      <c r="B7" t="s">
        <v>705</v>
      </c>
      <c r="C7" s="179">
        <f>IF('DOE25'!I664+'DOE25'!I669=0,0,ROUND('DOE25'!I671,0))</f>
        <v>12128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7909214</v>
      </c>
      <c r="D10" s="182">
        <f>ROUND((C10/$C$28)*100,1)</f>
        <v>41.3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2847866</v>
      </c>
      <c r="D11" s="182">
        <f>ROUND((C11/$C$28)*100,1)</f>
        <v>14.9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21476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464633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1599540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510541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1157933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1255287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332998</v>
      </c>
      <c r="D19" s="182">
        <f t="shared" si="0"/>
        <v>1.7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2020047</v>
      </c>
      <c r="D20" s="182">
        <f t="shared" si="0"/>
        <v>10.5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779592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26193</v>
      </c>
      <c r="D23" s="182">
        <f t="shared" si="0"/>
        <v>0.1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109463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113088.93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19147871.93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194366</v>
      </c>
    </row>
    <row r="30" spans="1:4" x14ac:dyDescent="0.2">
      <c r="B30" s="187" t="s">
        <v>729</v>
      </c>
      <c r="C30" s="180">
        <f>SUM(C28:C29)</f>
        <v>19342237.93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800000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10405248</v>
      </c>
      <c r="D35" s="182">
        <f t="shared" ref="D35:D40" si="1">ROUND((C35/$C$41)*100,1)</f>
        <v>52.1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289141.40000000037</v>
      </c>
      <c r="D36" s="182">
        <f t="shared" si="1"/>
        <v>1.4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7995081</v>
      </c>
      <c r="D37" s="182">
        <f t="shared" si="1"/>
        <v>40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557611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728950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19976031.399999999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LITCHFIELD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2013-11-18T20:10:13Z</cp:lastPrinted>
  <dcterms:created xsi:type="dcterms:W3CDTF">1997-12-04T19:04:30Z</dcterms:created>
  <dcterms:modified xsi:type="dcterms:W3CDTF">2013-12-05T18:49:57Z</dcterms:modified>
</cp:coreProperties>
</file>