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90" windowWidth="12735" windowHeight="642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664" i="1" l="1"/>
  <c r="G611" i="1" l="1"/>
  <c r="G612" i="1"/>
  <c r="G610" i="1"/>
  <c r="F612" i="1"/>
  <c r="F611" i="1"/>
  <c r="F610" i="1"/>
  <c r="H581" i="1"/>
  <c r="G581" i="1"/>
  <c r="F581" i="1"/>
  <c r="G567" i="1"/>
  <c r="G566" i="1"/>
  <c r="I567" i="1"/>
  <c r="F567" i="1"/>
  <c r="F566" i="1"/>
  <c r="K567" i="1"/>
  <c r="K566" i="1"/>
  <c r="I566" i="1"/>
  <c r="H567" i="1"/>
  <c r="H566" i="1"/>
  <c r="G556" i="1"/>
  <c r="G562" i="1"/>
  <c r="G563" i="1"/>
  <c r="G561" i="1"/>
  <c r="F563" i="1"/>
  <c r="F562" i="1"/>
  <c r="F561" i="1"/>
  <c r="G531" i="1"/>
  <c r="G532" i="1"/>
  <c r="G530" i="1"/>
  <c r="G526" i="1"/>
  <c r="G527" i="1"/>
  <c r="G525" i="1"/>
  <c r="G521" i="1"/>
  <c r="G522" i="1"/>
  <c r="G520" i="1"/>
  <c r="F520" i="1"/>
  <c r="K527" i="1"/>
  <c r="K526" i="1"/>
  <c r="K525" i="1"/>
  <c r="I527" i="1"/>
  <c r="I526" i="1"/>
  <c r="I525" i="1"/>
  <c r="H527" i="1"/>
  <c r="H526" i="1"/>
  <c r="H525" i="1"/>
  <c r="F527" i="1"/>
  <c r="F526" i="1"/>
  <c r="F525" i="1"/>
  <c r="I522" i="1"/>
  <c r="I521" i="1"/>
  <c r="I520" i="1"/>
  <c r="H522" i="1"/>
  <c r="H521" i="1"/>
  <c r="H520" i="1"/>
  <c r="F522" i="1"/>
  <c r="F521" i="1"/>
  <c r="F532" i="1"/>
  <c r="F531" i="1"/>
  <c r="F530" i="1"/>
  <c r="J527" i="1"/>
  <c r="J521" i="1"/>
  <c r="K520" i="1"/>
  <c r="J520" i="1"/>
  <c r="G238" i="1" l="1"/>
  <c r="G220" i="1"/>
  <c r="G202" i="1"/>
  <c r="K359" i="1" l="1"/>
  <c r="F359" i="1"/>
  <c r="F358" i="1"/>
  <c r="F357" i="1"/>
  <c r="H276" i="1"/>
  <c r="I281" i="1"/>
  <c r="I332" i="1"/>
  <c r="G332" i="1"/>
  <c r="I295" i="1"/>
  <c r="H281" i="1"/>
  <c r="F280" i="1" l="1"/>
  <c r="F276" i="1"/>
  <c r="J244" i="1" l="1"/>
  <c r="I244" i="1"/>
  <c r="H244" i="1"/>
  <c r="H243" i="1"/>
  <c r="K242" i="1"/>
  <c r="J242" i="1"/>
  <c r="I242" i="1"/>
  <c r="H242" i="1"/>
  <c r="H241" i="1"/>
  <c r="H240" i="1"/>
  <c r="K239" i="1"/>
  <c r="J239" i="1"/>
  <c r="I239" i="1"/>
  <c r="H239" i="1"/>
  <c r="K238" i="1"/>
  <c r="J238" i="1"/>
  <c r="I238" i="1"/>
  <c r="H238" i="1"/>
  <c r="K237" i="1"/>
  <c r="I237" i="1"/>
  <c r="H237" i="1"/>
  <c r="I250" i="1"/>
  <c r="J226" i="1"/>
  <c r="I226" i="1"/>
  <c r="H226" i="1"/>
  <c r="H225" i="1"/>
  <c r="K224" i="1"/>
  <c r="J224" i="1"/>
  <c r="I224" i="1"/>
  <c r="H224" i="1"/>
  <c r="H223" i="1"/>
  <c r="H222" i="1"/>
  <c r="K221" i="1"/>
  <c r="J221" i="1"/>
  <c r="I221" i="1"/>
  <c r="H221" i="1"/>
  <c r="K220" i="1"/>
  <c r="J220" i="1"/>
  <c r="I220" i="1"/>
  <c r="H220" i="1"/>
  <c r="K219" i="1"/>
  <c r="I219" i="1"/>
  <c r="H219" i="1"/>
  <c r="J208" i="1"/>
  <c r="I208" i="1"/>
  <c r="H208" i="1"/>
  <c r="H207" i="1"/>
  <c r="K206" i="1"/>
  <c r="J206" i="1"/>
  <c r="I206" i="1"/>
  <c r="H206" i="1"/>
  <c r="H205" i="1"/>
  <c r="H204" i="1"/>
  <c r="K203" i="1"/>
  <c r="J203" i="1"/>
  <c r="I203" i="1"/>
  <c r="H203" i="1"/>
  <c r="K202" i="1"/>
  <c r="J202" i="1"/>
  <c r="I202" i="1"/>
  <c r="H202" i="1"/>
  <c r="K201" i="1"/>
  <c r="I201" i="1"/>
  <c r="H201" i="1"/>
  <c r="I199" i="1"/>
  <c r="K197" i="1"/>
  <c r="I197" i="1"/>
  <c r="H197" i="1"/>
  <c r="I196" i="1"/>
  <c r="I240" i="1" l="1"/>
  <c r="K240" i="1"/>
  <c r="H250" i="1"/>
  <c r="K222" i="1"/>
  <c r="I222" i="1"/>
  <c r="K204" i="1"/>
  <c r="I204" i="1"/>
  <c r="J197" i="1"/>
  <c r="J196" i="1"/>
  <c r="H196" i="1"/>
  <c r="F244" i="1"/>
  <c r="F242" i="1"/>
  <c r="F241" i="1"/>
  <c r="F240" i="1"/>
  <c r="F239" i="1"/>
  <c r="F238" i="1"/>
  <c r="F237" i="1"/>
  <c r="F226" i="1"/>
  <c r="F224" i="1"/>
  <c r="F223" i="1"/>
  <c r="F222" i="1"/>
  <c r="F221" i="1"/>
  <c r="F220" i="1"/>
  <c r="F219" i="1"/>
  <c r="F196" i="1"/>
  <c r="F208" i="1"/>
  <c r="F206" i="1"/>
  <c r="F205" i="1"/>
  <c r="F204" i="1"/>
  <c r="F202" i="1"/>
  <c r="F201" i="1"/>
  <c r="F199" i="1"/>
  <c r="F197" i="1"/>
  <c r="G98" i="1" l="1"/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F49" i="2" s="1"/>
  <c r="F50" i="2" s="1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C12" i="10" s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F661" i="1" s="1"/>
  <c r="L225" i="1"/>
  <c r="G649" i="1" s="1"/>
  <c r="L243" i="1"/>
  <c r="H661" i="1" s="1"/>
  <c r="F17" i="13"/>
  <c r="G17" i="13"/>
  <c r="L250" i="1"/>
  <c r="C113" i="2" s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E109" i="2" s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C130" i="2" s="1"/>
  <c r="L260" i="1"/>
  <c r="L340" i="1"/>
  <c r="L341" i="1"/>
  <c r="L254" i="1"/>
  <c r="L335" i="1"/>
  <c r="C11" i="13"/>
  <c r="C10" i="13"/>
  <c r="C9" i="13"/>
  <c r="L360" i="1"/>
  <c r="L361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92" i="1" s="1"/>
  <c r="C137" i="2" s="1"/>
  <c r="L388" i="1"/>
  <c r="L389" i="1"/>
  <c r="L390" i="1"/>
  <c r="L391" i="1"/>
  <c r="L394" i="1"/>
  <c r="L395" i="1"/>
  <c r="L396" i="1"/>
  <c r="L397" i="1"/>
  <c r="L398" i="1"/>
  <c r="L399" i="1"/>
  <c r="L400" i="1" s="1"/>
  <c r="C138" i="2" s="1"/>
  <c r="L402" i="1"/>
  <c r="L403" i="1"/>
  <c r="L404" i="1"/>
  <c r="L405" i="1"/>
  <c r="L265" i="1"/>
  <c r="J59" i="1"/>
  <c r="G55" i="2" s="1"/>
  <c r="G58" i="2"/>
  <c r="G61" i="2" s="1"/>
  <c r="G60" i="2"/>
  <c r="F2" i="11"/>
  <c r="L612" i="1"/>
  <c r="H662" i="1" s="1"/>
  <c r="L611" i="1"/>
  <c r="G662" i="1" s="1"/>
  <c r="L610" i="1"/>
  <c r="F662" i="1" s="1"/>
  <c r="C40" i="10"/>
  <c r="F59" i="1"/>
  <c r="C55" i="2" s="1"/>
  <c r="G59" i="1"/>
  <c r="H59" i="1"/>
  <c r="I59" i="1"/>
  <c r="F78" i="1"/>
  <c r="C56" i="2" s="1"/>
  <c r="F93" i="1"/>
  <c r="C57" i="2" s="1"/>
  <c r="F110" i="1"/>
  <c r="G110" i="1"/>
  <c r="G111" i="1" s="1"/>
  <c r="H78" i="1"/>
  <c r="H93" i="1"/>
  <c r="H110" i="1"/>
  <c r="H111" i="1" s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H168" i="1" s="1"/>
  <c r="I146" i="1"/>
  <c r="I161" i="1"/>
  <c r="L249" i="1"/>
  <c r="L331" i="1"/>
  <c r="C23" i="10" s="1"/>
  <c r="L253" i="1"/>
  <c r="C25" i="10"/>
  <c r="L267" i="1"/>
  <c r="L268" i="1"/>
  <c r="C142" i="2" s="1"/>
  <c r="L348" i="1"/>
  <c r="L349" i="1"/>
  <c r="I664" i="1"/>
  <c r="I669" i="1"/>
  <c r="I668" i="1"/>
  <c r="C4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G551" i="1" s="1"/>
  <c r="L527" i="1"/>
  <c r="G550" i="1" s="1"/>
  <c r="L530" i="1"/>
  <c r="H548" i="1" s="1"/>
  <c r="L531" i="1"/>
  <c r="H549" i="1" s="1"/>
  <c r="L532" i="1"/>
  <c r="H550" i="1" s="1"/>
  <c r="H551" i="1" s="1"/>
  <c r="L535" i="1"/>
  <c r="I548" i="1" s="1"/>
  <c r="I551" i="1" s="1"/>
  <c r="L536" i="1"/>
  <c r="I549" i="1" s="1"/>
  <c r="L537" i="1"/>
  <c r="I550" i="1" s="1"/>
  <c r="L540" i="1"/>
  <c r="J548" i="1" s="1"/>
  <c r="J551" i="1" s="1"/>
  <c r="L541" i="1"/>
  <c r="J549" i="1" s="1"/>
  <c r="L542" i="1"/>
  <c r="J550" i="1" s="1"/>
  <c r="E131" i="2"/>
  <c r="E130" i="2"/>
  <c r="K269" i="1"/>
  <c r="L269" i="1" s="1"/>
  <c r="J269" i="1"/>
  <c r="I269" i="1"/>
  <c r="H269" i="1"/>
  <c r="G269" i="1"/>
  <c r="F269" i="1"/>
  <c r="C131" i="2"/>
  <c r="A1" i="2"/>
  <c r="A2" i="2"/>
  <c r="C8" i="2"/>
  <c r="D8" i="2"/>
  <c r="E8" i="2"/>
  <c r="E18" i="2" s="1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F18" i="2" s="1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F31" i="2" s="1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D49" i="2" s="1"/>
  <c r="E34" i="2"/>
  <c r="F34" i="2"/>
  <c r="C35" i="2"/>
  <c r="D35" i="2"/>
  <c r="E35" i="2"/>
  <c r="E49" i="2" s="1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D55" i="2"/>
  <c r="E55" i="2"/>
  <c r="F55" i="2"/>
  <c r="E56" i="2"/>
  <c r="E57" i="2"/>
  <c r="C58" i="2"/>
  <c r="D58" i="2"/>
  <c r="E58" i="2"/>
  <c r="F58" i="2"/>
  <c r="D59" i="2"/>
  <c r="C60" i="2"/>
  <c r="D60" i="2"/>
  <c r="E60" i="2"/>
  <c r="E61" i="2" s="1"/>
  <c r="E62" i="2" s="1"/>
  <c r="F60" i="2"/>
  <c r="C65" i="2"/>
  <c r="C66" i="2"/>
  <c r="C68" i="2"/>
  <c r="D68" i="2"/>
  <c r="D69" i="2" s="1"/>
  <c r="D80" i="2" s="1"/>
  <c r="E68" i="2"/>
  <c r="E69" i="2" s="1"/>
  <c r="F68" i="2"/>
  <c r="F69" i="2" s="1"/>
  <c r="G68" i="2"/>
  <c r="G69" i="2" s="1"/>
  <c r="G80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F77" i="2" s="1"/>
  <c r="F80" i="2" s="1"/>
  <c r="G76" i="2"/>
  <c r="G77" i="2" s="1"/>
  <c r="C78" i="2"/>
  <c r="D78" i="2"/>
  <c r="E78" i="2"/>
  <c r="C79" i="2"/>
  <c r="E79" i="2"/>
  <c r="C84" i="2"/>
  <c r="D84" i="2"/>
  <c r="D90" i="2" s="1"/>
  <c r="E84" i="2"/>
  <c r="F84" i="2"/>
  <c r="C86" i="2"/>
  <c r="C90" i="2" s="1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F102" i="2" s="1"/>
  <c r="C93" i="2"/>
  <c r="F93" i="2"/>
  <c r="D95" i="2"/>
  <c r="E95" i="2"/>
  <c r="F95" i="2"/>
  <c r="G95" i="2"/>
  <c r="C96" i="2"/>
  <c r="D96" i="2"/>
  <c r="E96" i="2"/>
  <c r="F96" i="2"/>
  <c r="G96" i="2"/>
  <c r="G102" i="2" s="1"/>
  <c r="C97" i="2"/>
  <c r="D97" i="2"/>
  <c r="E97" i="2"/>
  <c r="G97" i="2"/>
  <c r="C98" i="2"/>
  <c r="D98" i="2"/>
  <c r="E98" i="2"/>
  <c r="E102" i="2" s="1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08" i="2"/>
  <c r="E110" i="2"/>
  <c r="E111" i="2"/>
  <c r="C112" i="2"/>
  <c r="E113" i="2"/>
  <c r="D114" i="2"/>
  <c r="F114" i="2"/>
  <c r="G114" i="2"/>
  <c r="E117" i="2"/>
  <c r="E119" i="2"/>
  <c r="E120" i="2"/>
  <c r="E121" i="2"/>
  <c r="E122" i="2"/>
  <c r="E123" i="2"/>
  <c r="E124" i="2"/>
  <c r="F127" i="2"/>
  <c r="G127" i="2"/>
  <c r="C129" i="2"/>
  <c r="E129" i="2"/>
  <c r="E143" i="2" s="1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G156" i="2" s="1"/>
  <c r="D156" i="2"/>
  <c r="E156" i="2"/>
  <c r="F156" i="2"/>
  <c r="B157" i="2"/>
  <c r="C157" i="2"/>
  <c r="D157" i="2"/>
  <c r="E157" i="2"/>
  <c r="F157" i="2"/>
  <c r="B158" i="2"/>
  <c r="G158" i="2" s="1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G617" i="1" s="1"/>
  <c r="H19" i="1"/>
  <c r="I19" i="1"/>
  <c r="F32" i="1"/>
  <c r="G32" i="1"/>
  <c r="H32" i="1"/>
  <c r="I32" i="1"/>
  <c r="F50" i="1"/>
  <c r="G621" i="1" s="1"/>
  <c r="G50" i="1"/>
  <c r="G51" i="1" s="1"/>
  <c r="H617" i="1" s="1"/>
  <c r="H50" i="1"/>
  <c r="G623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F191" i="1" s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F407" i="1" s="1"/>
  <c r="H642" i="1" s="1"/>
  <c r="J642" i="1" s="1"/>
  <c r="G400" i="1"/>
  <c r="G407" i="1" s="1"/>
  <c r="H644" i="1" s="1"/>
  <c r="H400" i="1"/>
  <c r="H407" i="1" s="1"/>
  <c r="H643" i="1" s="1"/>
  <c r="I400" i="1"/>
  <c r="F406" i="1"/>
  <c r="G406" i="1"/>
  <c r="H406" i="1"/>
  <c r="I406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6" i="1" s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638" i="1" s="1"/>
  <c r="G445" i="1"/>
  <c r="H445" i="1"/>
  <c r="F451" i="1"/>
  <c r="G451" i="1"/>
  <c r="H451" i="1"/>
  <c r="I451" i="1"/>
  <c r="F459" i="1"/>
  <c r="F460" i="1" s="1"/>
  <c r="H638" i="1" s="1"/>
  <c r="G459" i="1"/>
  <c r="G460" i="1" s="1"/>
  <c r="H639" i="1" s="1"/>
  <c r="H459" i="1"/>
  <c r="H460" i="1"/>
  <c r="F469" i="1"/>
  <c r="G469" i="1"/>
  <c r="H469" i="1"/>
  <c r="I469" i="1"/>
  <c r="J469" i="1"/>
  <c r="J475" i="1" s="1"/>
  <c r="H625" i="1" s="1"/>
  <c r="F473" i="1"/>
  <c r="F475" i="1" s="1"/>
  <c r="H621" i="1" s="1"/>
  <c r="G473" i="1"/>
  <c r="H473" i="1"/>
  <c r="H475" i="1" s="1"/>
  <c r="H623" i="1" s="1"/>
  <c r="I473" i="1"/>
  <c r="J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K544" i="1" s="1"/>
  <c r="F528" i="1"/>
  <c r="G528" i="1"/>
  <c r="H528" i="1"/>
  <c r="I528" i="1"/>
  <c r="J528" i="1"/>
  <c r="K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F543" i="1"/>
  <c r="G543" i="1"/>
  <c r="H543" i="1"/>
  <c r="I543" i="1"/>
  <c r="J543" i="1"/>
  <c r="K543" i="1"/>
  <c r="L556" i="1"/>
  <c r="L559" i="1" s="1"/>
  <c r="L557" i="1"/>
  <c r="L558" i="1"/>
  <c r="F559" i="1"/>
  <c r="G559" i="1"/>
  <c r="H559" i="1"/>
  <c r="I559" i="1"/>
  <c r="J559" i="1"/>
  <c r="K559" i="1"/>
  <c r="L561" i="1"/>
  <c r="L562" i="1"/>
  <c r="L563" i="1"/>
  <c r="L564" i="1" s="1"/>
  <c r="F564" i="1"/>
  <c r="G564" i="1"/>
  <c r="H564" i="1"/>
  <c r="I564" i="1"/>
  <c r="J564" i="1"/>
  <c r="K564" i="1"/>
  <c r="L566" i="1"/>
  <c r="L567" i="1"/>
  <c r="L568" i="1"/>
  <c r="F569" i="1"/>
  <c r="G569" i="1"/>
  <c r="H569" i="1"/>
  <c r="H570" i="1" s="1"/>
  <c r="I569" i="1"/>
  <c r="I570" i="1" s="1"/>
  <c r="J569" i="1"/>
  <c r="K569" i="1"/>
  <c r="K570" i="1" s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J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8" i="1"/>
  <c r="G619" i="1"/>
  <c r="G622" i="1"/>
  <c r="G624" i="1"/>
  <c r="H626" i="1"/>
  <c r="H627" i="1"/>
  <c r="H628" i="1"/>
  <c r="H629" i="1"/>
  <c r="H630" i="1"/>
  <c r="H631" i="1"/>
  <c r="H632" i="1"/>
  <c r="G633" i="1"/>
  <c r="H634" i="1"/>
  <c r="H635" i="1"/>
  <c r="H636" i="1"/>
  <c r="H637" i="1"/>
  <c r="G639" i="1"/>
  <c r="G640" i="1"/>
  <c r="H640" i="1"/>
  <c r="G642" i="1"/>
  <c r="G643" i="1"/>
  <c r="G650" i="1"/>
  <c r="G651" i="1"/>
  <c r="H651" i="1"/>
  <c r="G652" i="1"/>
  <c r="H652" i="1"/>
  <c r="G653" i="1"/>
  <c r="H653" i="1"/>
  <c r="H654" i="1"/>
  <c r="J654" i="1" s="1"/>
  <c r="L350" i="1"/>
  <c r="A31" i="12"/>
  <c r="D18" i="13"/>
  <c r="C18" i="13" s="1"/>
  <c r="F61" i="2"/>
  <c r="F62" i="2" s="1"/>
  <c r="F90" i="2"/>
  <c r="D19" i="13"/>
  <c r="C19" i="13" s="1"/>
  <c r="E77" i="2"/>
  <c r="E80" i="2" s="1"/>
  <c r="J640" i="1"/>
  <c r="K604" i="1"/>
  <c r="G647" i="1" s="1"/>
  <c r="J570" i="1"/>
  <c r="L432" i="1"/>
  <c r="L418" i="1"/>
  <c r="I168" i="1"/>
  <c r="I475" i="1"/>
  <c r="H624" i="1" s="1"/>
  <c r="J624" i="1" s="1"/>
  <c r="G337" i="1"/>
  <c r="G351" i="1" s="1"/>
  <c r="F168" i="1"/>
  <c r="J139" i="1"/>
  <c r="G22" i="2"/>
  <c r="C29" i="10"/>
  <c r="H139" i="1"/>
  <c r="F22" i="13"/>
  <c r="C22" i="13" s="1"/>
  <c r="H25" i="13"/>
  <c r="C25" i="13" s="1"/>
  <c r="G191" i="1"/>
  <c r="H191" i="1"/>
  <c r="J635" i="1"/>
  <c r="G36" i="2"/>
  <c r="A13" i="12" l="1"/>
  <c r="A40" i="12"/>
  <c r="K597" i="1"/>
  <c r="G646" i="1" s="1"/>
  <c r="L569" i="1"/>
  <c r="L570" i="1" s="1"/>
  <c r="F570" i="1"/>
  <c r="G544" i="1"/>
  <c r="L538" i="1"/>
  <c r="H544" i="1"/>
  <c r="L543" i="1"/>
  <c r="K549" i="1"/>
  <c r="J544" i="1"/>
  <c r="I544" i="1"/>
  <c r="K550" i="1"/>
  <c r="L528" i="1"/>
  <c r="K548" i="1"/>
  <c r="F551" i="1"/>
  <c r="L523" i="1"/>
  <c r="C26" i="10"/>
  <c r="D17" i="13"/>
  <c r="C17" i="13" s="1"/>
  <c r="C117" i="2"/>
  <c r="G159" i="2"/>
  <c r="K499" i="1"/>
  <c r="G160" i="2"/>
  <c r="G155" i="2"/>
  <c r="G161" i="2"/>
  <c r="G163" i="2"/>
  <c r="G162" i="2"/>
  <c r="K502" i="1"/>
  <c r="G157" i="2"/>
  <c r="C31" i="2"/>
  <c r="C18" i="2"/>
  <c r="E13" i="13"/>
  <c r="C13" i="13" s="1"/>
  <c r="C69" i="2"/>
  <c r="E31" i="2"/>
  <c r="E50" i="2" s="1"/>
  <c r="G475" i="1"/>
  <c r="H622" i="1" s="1"/>
  <c r="J622" i="1" s="1"/>
  <c r="J643" i="1"/>
  <c r="I368" i="1"/>
  <c r="H633" i="1" s="1"/>
  <c r="J633" i="1" s="1"/>
  <c r="G660" i="1"/>
  <c r="H660" i="1"/>
  <c r="D126" i="2"/>
  <c r="D127" i="2" s="1"/>
  <c r="D144" i="2" s="1"/>
  <c r="D29" i="13"/>
  <c r="C29" i="13" s="1"/>
  <c r="F660" i="1"/>
  <c r="J337" i="1"/>
  <c r="J351" i="1" s="1"/>
  <c r="L327" i="1"/>
  <c r="E118" i="2"/>
  <c r="E127" i="2" s="1"/>
  <c r="H337" i="1"/>
  <c r="H351" i="1" s="1"/>
  <c r="E112" i="2"/>
  <c r="E114" i="2"/>
  <c r="L336" i="1"/>
  <c r="F337" i="1"/>
  <c r="F351" i="1" s="1"/>
  <c r="L308" i="1"/>
  <c r="L289" i="1"/>
  <c r="I459" i="1"/>
  <c r="I460" i="1" s="1"/>
  <c r="H641" i="1" s="1"/>
  <c r="I445" i="1"/>
  <c r="G641" i="1" s="1"/>
  <c r="J641" i="1" s="1"/>
  <c r="J639" i="1"/>
  <c r="K256" i="1"/>
  <c r="K270" i="1" s="1"/>
  <c r="C121" i="2"/>
  <c r="C118" i="2"/>
  <c r="L255" i="1"/>
  <c r="I256" i="1"/>
  <c r="I270" i="1" s="1"/>
  <c r="J256" i="1"/>
  <c r="J270" i="1" s="1"/>
  <c r="C124" i="2"/>
  <c r="G661" i="1"/>
  <c r="I661" i="1"/>
  <c r="E16" i="13"/>
  <c r="C16" i="13" s="1"/>
  <c r="C49" i="2"/>
  <c r="C50" i="2" s="1"/>
  <c r="J621" i="1"/>
  <c r="C32" i="10"/>
  <c r="H33" i="13"/>
  <c r="C110" i="2"/>
  <c r="G256" i="1"/>
  <c r="G270" i="1" s="1"/>
  <c r="H256" i="1"/>
  <c r="H270" i="1" s="1"/>
  <c r="C122" i="2"/>
  <c r="D6" i="13"/>
  <c r="C6" i="13" s="1"/>
  <c r="C111" i="2"/>
  <c r="C21" i="10"/>
  <c r="G648" i="1"/>
  <c r="J648" i="1" s="1"/>
  <c r="D15" i="13"/>
  <c r="C15" i="13" s="1"/>
  <c r="H646" i="1"/>
  <c r="C123" i="2"/>
  <c r="D14" i="13"/>
  <c r="C14" i="13" s="1"/>
  <c r="C19" i="10"/>
  <c r="C119" i="2"/>
  <c r="C17" i="10"/>
  <c r="E8" i="13"/>
  <c r="C8" i="13" s="1"/>
  <c r="D12" i="13"/>
  <c r="C12" i="13" s="1"/>
  <c r="C15" i="10"/>
  <c r="C11" i="10"/>
  <c r="L246" i="1"/>
  <c r="C20" i="10"/>
  <c r="C18" i="10"/>
  <c r="C120" i="2"/>
  <c r="D7" i="13"/>
  <c r="C7" i="13" s="1"/>
  <c r="C16" i="10"/>
  <c r="L228" i="1"/>
  <c r="C13" i="10"/>
  <c r="F256" i="1"/>
  <c r="F270" i="1" s="1"/>
  <c r="C108" i="2"/>
  <c r="D5" i="13"/>
  <c r="C5" i="13" s="1"/>
  <c r="C109" i="2"/>
  <c r="C10" i="10"/>
  <c r="L210" i="1"/>
  <c r="G644" i="1"/>
  <c r="J644" i="1" s="1"/>
  <c r="C102" i="2"/>
  <c r="D61" i="2"/>
  <c r="D62" i="2" s="1"/>
  <c r="C77" i="2"/>
  <c r="C80" i="2" s="1"/>
  <c r="C61" i="2"/>
  <c r="F111" i="1"/>
  <c r="C62" i="2"/>
  <c r="C35" i="10"/>
  <c r="J638" i="1"/>
  <c r="J623" i="1"/>
  <c r="H51" i="1"/>
  <c r="H618" i="1" s="1"/>
  <c r="J618" i="1" s="1"/>
  <c r="D31" i="2"/>
  <c r="D18" i="2"/>
  <c r="F51" i="1"/>
  <c r="H616" i="1" s="1"/>
  <c r="J616" i="1" s="1"/>
  <c r="C24" i="10"/>
  <c r="G31" i="13"/>
  <c r="G33" i="13" s="1"/>
  <c r="I337" i="1"/>
  <c r="I351" i="1" s="1"/>
  <c r="J649" i="1"/>
  <c r="L406" i="1"/>
  <c r="C139" i="2" s="1"/>
  <c r="C140" i="2" s="1"/>
  <c r="C143" i="2" s="1"/>
  <c r="I191" i="1"/>
  <c r="E90" i="2"/>
  <c r="E103" i="2" s="1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F33" i="13" s="1"/>
  <c r="J192" i="1"/>
  <c r="G645" i="1" s="1"/>
  <c r="F103" i="2"/>
  <c r="H192" i="1"/>
  <c r="G628" i="1" s="1"/>
  <c r="J628" i="1" s="1"/>
  <c r="G168" i="1"/>
  <c r="C39" i="10" s="1"/>
  <c r="G139" i="1"/>
  <c r="F139" i="1"/>
  <c r="G62" i="2"/>
  <c r="G103" i="2" s="1"/>
  <c r="J617" i="1"/>
  <c r="G42" i="2"/>
  <c r="G49" i="2" s="1"/>
  <c r="G50" i="2" s="1"/>
  <c r="J50" i="1"/>
  <c r="G16" i="2"/>
  <c r="J19" i="1"/>
  <c r="G620" i="1" s="1"/>
  <c r="G18" i="2"/>
  <c r="F544" i="1"/>
  <c r="H433" i="1"/>
  <c r="J619" i="1"/>
  <c r="D102" i="2"/>
  <c r="I139" i="1"/>
  <c r="I192" i="1" s="1"/>
  <c r="G629" i="1" s="1"/>
  <c r="J629" i="1" s="1"/>
  <c r="A22" i="12"/>
  <c r="J651" i="1"/>
  <c r="G570" i="1"/>
  <c r="I433" i="1"/>
  <c r="G433" i="1"/>
  <c r="I662" i="1"/>
  <c r="C27" i="10"/>
  <c r="G634" i="1"/>
  <c r="J634" i="1" s="1"/>
  <c r="J646" i="1" l="1"/>
  <c r="K551" i="1"/>
  <c r="L544" i="1"/>
  <c r="C36" i="10"/>
  <c r="H645" i="1"/>
  <c r="J645" i="1" s="1"/>
  <c r="I660" i="1"/>
  <c r="H659" i="1"/>
  <c r="H663" i="1" s="1"/>
  <c r="H666" i="1" s="1"/>
  <c r="L337" i="1"/>
  <c r="L351" i="1" s="1"/>
  <c r="G632" i="1" s="1"/>
  <c r="J632" i="1" s="1"/>
  <c r="G659" i="1"/>
  <c r="G663" i="1" s="1"/>
  <c r="G671" i="1" s="1"/>
  <c r="C5" i="10" s="1"/>
  <c r="E144" i="2"/>
  <c r="D31" i="13"/>
  <c r="C31" i="13" s="1"/>
  <c r="H647" i="1"/>
  <c r="J647" i="1" s="1"/>
  <c r="E33" i="13"/>
  <c r="D35" i="13" s="1"/>
  <c r="C127" i="2"/>
  <c r="C114" i="2"/>
  <c r="L256" i="1"/>
  <c r="L270" i="1" s="1"/>
  <c r="G631" i="1" s="1"/>
  <c r="J631" i="1" s="1"/>
  <c r="C28" i="10"/>
  <c r="D21" i="10" s="1"/>
  <c r="F659" i="1"/>
  <c r="D103" i="2"/>
  <c r="C103" i="2"/>
  <c r="F192" i="1"/>
  <c r="G626" i="1" s="1"/>
  <c r="J626" i="1" s="1"/>
  <c r="G630" i="1"/>
  <c r="J630" i="1" s="1"/>
  <c r="G192" i="1"/>
  <c r="G627" i="1" s="1"/>
  <c r="J627" i="1" s="1"/>
  <c r="G625" i="1"/>
  <c r="J625" i="1" s="1"/>
  <c r="J51" i="1"/>
  <c r="H620" i="1" s="1"/>
  <c r="J620" i="1" s="1"/>
  <c r="C38" i="10"/>
  <c r="H671" i="1" l="1"/>
  <c r="C6" i="10" s="1"/>
  <c r="G666" i="1"/>
  <c r="D33" i="13"/>
  <c r="D36" i="13" s="1"/>
  <c r="C144" i="2"/>
  <c r="D26" i="10"/>
  <c r="D15" i="10"/>
  <c r="D12" i="10"/>
  <c r="D16" i="10"/>
  <c r="D19" i="10"/>
  <c r="D18" i="10"/>
  <c r="D11" i="10"/>
  <c r="D22" i="10"/>
  <c r="D27" i="10"/>
  <c r="D17" i="10"/>
  <c r="D24" i="10"/>
  <c r="D10" i="10"/>
  <c r="C30" i="10"/>
  <c r="D23" i="10"/>
  <c r="D20" i="10"/>
  <c r="D25" i="10"/>
  <c r="D13" i="10"/>
  <c r="F663" i="1"/>
  <c r="I659" i="1"/>
  <c r="I663" i="1" s="1"/>
  <c r="I671" i="1" s="1"/>
  <c r="C7" i="10" s="1"/>
  <c r="H655" i="1"/>
  <c r="C41" i="10"/>
  <c r="D38" i="10" s="1"/>
  <c r="I666" i="1" l="1"/>
  <c r="D28" i="10"/>
  <c r="F666" i="1"/>
  <c r="F671" i="1"/>
  <c r="C4" i="10" s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<sst xmlns="http://schemas.openxmlformats.org/spreadsheetml/2006/main" count="3956" uniqueCount="922">
  <si>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</si>
  <si>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</si>
  <si>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</si>
  <si>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</si>
  <si>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</si>
  <si>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</si>
  <si>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</si>
  <si>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</si>
  <si>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</si>
  <si>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</si>
  <si>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</si>
  <si>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</si>
  <si>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</si>
  <si>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</si>
  <si>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</si>
  <si>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</si>
  <si>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</si>
  <si>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</si>
  <si>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</si>
  <si>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</si>
  <si>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</si>
  <si>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</si>
  <si>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</si>
  <si>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</si>
  <si>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</si>
  <si>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</si>
  <si>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</si>
  <si>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</si>
  <si>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</si>
  <si>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</si>
  <si>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</si>
  <si>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</si>
  <si>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</si>
  <si>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</si>
  <si>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</si>
  <si>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</si>
  <si>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</si>
  <si>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</si>
  <si>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</si>
  <si>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</si>
  <si>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</si>
  <si>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</si>
  <si>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</si>
  <si>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</si>
  <si>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</si>
  <si>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</si>
  <si>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</si>
  <si>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</si>
  <si>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</si>
  <si>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</si>
  <si>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</si>
  <si>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</si>
  <si>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</si>
  <si>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</si>
  <si>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</si>
  <si>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</si>
  <si>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</si>
  <si>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</si>
  <si>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</si>
  <si>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</si>
  <si>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</si>
  <si>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</si>
  <si>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</si>
  <si>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</si>
  <si>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</si>
  <si>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</si>
  <si>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</si>
  <si>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</si>
  <si>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</si>
  <si>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</si>
  <si>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</si>
  <si>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</si>
  <si>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</si>
  <si>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</si>
  <si>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</si>
  <si>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</si>
  <si>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</si>
  <si>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</si>
  <si>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</si>
  <si>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</si>
  <si>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</si>
  <si>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</si>
  <si>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</si>
  <si>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</si>
  <si>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</si>
  <si>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</si>
  <si>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</si>
  <si>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</si>
  <si>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</si>
  <si>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</si>
  <si>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</si>
  <si>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</si>
  <si>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</si>
  <si>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</si>
  <si>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</si>
  <si>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</si>
  <si>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</si>
  <si>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</si>
  <si>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</si>
  <si>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</si>
  <si>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</si>
  <si>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</si>
  <si>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</si>
  <si>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</si>
  <si>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</si>
  <si>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</si>
  <si>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</si>
  <si>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</si>
  <si>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</si>
  <si>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</si>
  <si>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</si>
  <si>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</si>
  <si>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</si>
  <si>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</si>
  <si>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</si>
  <si>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</si>
  <si>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</si>
  <si>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</si>
  <si>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</si>
  <si>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</si>
  <si>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</si>
  <si>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</si>
  <si>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</si>
  <si>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</si>
  <si>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</si>
  <si>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</si>
  <si>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</si>
  <si>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</si>
  <si>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</si>
  <si>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</si>
  <si>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</si>
  <si>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</si>
  <si>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</si>
  <si>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</si>
  <si>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</si>
  <si>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</si>
  <si>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</si>
  <si>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</si>
  <si>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</si>
  <si>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</si>
  <si>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</si>
  <si>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</si>
  <si>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</si>
  <si>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</si>
  <si>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</si>
  <si>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</si>
  <si>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</si>
  <si>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</si>
  <si>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</si>
  <si>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</si>
  <si>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</si>
  <si>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</si>
  <si>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</si>
  <si>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</si>
  <si>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</si>
  <si>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</si>
  <si>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</si>
  <si>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</si>
  <si>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</si>
  <si>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</si>
  <si>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</si>
  <si>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</si>
  <si>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</si>
  <si>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</si>
  <si>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</si>
  <si>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</si>
  <si>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</si>
  <si>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</si>
  <si>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</si>
  <si>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</si>
  <si>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</si>
  <si>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</si>
  <si>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</si>
  <si>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</si>
  <si>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</si>
  <si>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</si>
  <si>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</si>
  <si>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</si>
  <si>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</si>
  <si>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</si>
  <si>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</si>
  <si>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</si>
  <si>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</si>
  <si>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</si>
  <si>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</si>
  <si>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</si>
  <si>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</si>
  <si>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</si>
  <si>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</si>
  <si>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</si>
  <si>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</si>
  <si>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</si>
  <si>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</si>
  <si>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</si>
  <si>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</si>
  <si>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</si>
  <si>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</si>
  <si>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</si>
  <si>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</si>
  <si>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</si>
  <si>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</si>
  <si>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</si>
  <si>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</si>
  <si>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</si>
  <si>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</si>
  <si>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</si>
  <si>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</si>
  <si>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</si>
  <si>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</si>
  <si>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</si>
  <si>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</si>
  <si>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</si>
  <si>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</si>
  <si>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</si>
  <si>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</si>
  <si>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</si>
  <si>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</si>
  <si>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</si>
  <si>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</si>
  <si>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</si>
  <si>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</si>
  <si>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</si>
  <si>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</si>
  <si>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</si>
  <si>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</si>
  <si>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</si>
  <si>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</si>
  <si>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</si>
  <si>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</si>
  <si>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</si>
  <si>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</si>
  <si>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</si>
  <si>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</si>
  <si>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</si>
  <si>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</si>
  <si>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</si>
  <si>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</si>
  <si>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</si>
  <si>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</si>
  <si>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</si>
  <si>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</si>
  <si>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</si>
  <si>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</si>
  <si>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</si>
  <si>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</si>
  <si>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</si>
  <si>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</si>
  <si>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</si>
  <si>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</si>
  <si>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</si>
  <si>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</si>
  <si>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</si>
  <si>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</si>
  <si>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</si>
  <si>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</si>
  <si>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</si>
  <si>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</si>
  <si>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</si>
  <si>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</si>
  <si>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</si>
  <si>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</si>
  <si>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</si>
  <si>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</si>
  <si>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</si>
  <si>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</si>
  <si>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</si>
  <si>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</si>
  <si>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</si>
  <si>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</si>
  <si>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</si>
  <si>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</si>
  <si>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</si>
  <si>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</si>
  <si>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</si>
  <si>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</si>
  <si>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</si>
  <si>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</si>
  <si>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</si>
  <si>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</si>
  <si>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</si>
  <si>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</si>
  <si>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</si>
  <si>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</si>
  <si>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</si>
  <si>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</si>
  <si>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</si>
  <si>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</si>
  <si>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</si>
  <si>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</si>
  <si>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</si>
  <si>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</si>
  <si>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</si>
  <si>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</si>
  <si>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</si>
  <si>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</si>
  <si>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</si>
  <si>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</si>
  <si>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</si>
  <si>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</si>
  <si>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</si>
  <si>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</si>
  <si>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</si>
  <si>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</si>
  <si>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</si>
  <si>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</si>
  <si>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</si>
  <si>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</si>
  <si>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</si>
  <si>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</si>
  <si>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</si>
  <si>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</si>
  <si>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</si>
  <si>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</si>
  <si>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</si>
  <si>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</si>
  <si>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</si>
  <si>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</si>
  <si>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</si>
  <si>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</si>
  <si>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</si>
  <si>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</si>
  <si>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</si>
  <si>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</si>
  <si>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</si>
  <si>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</si>
  <si>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</si>
  <si>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</si>
  <si>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</si>
  <si>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</si>
  <si>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</si>
  <si>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</si>
  <si>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</si>
  <si>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</si>
  <si>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</si>
  <si>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</si>
  <si>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</si>
  <si>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</si>
  <si>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</si>
  <si>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</si>
  <si>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</si>
  <si>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</si>
  <si>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</si>
  <si>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</si>
  <si>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</si>
  <si>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</si>
  <si>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</si>
  <si>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</si>
  <si>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</si>
  <si>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</si>
  <si>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</si>
  <si>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</si>
  <si>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</si>
  <si>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</si>
  <si>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</si>
  <si>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</si>
  <si>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</si>
  <si>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</si>
  <si>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</si>
  <si>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</si>
  <si>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</si>
  <si>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</si>
  <si>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</si>
  <si>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</si>
  <si>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</si>
  <si>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</si>
  <si>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</si>
  <si>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</si>
  <si>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</si>
  <si>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</si>
  <si>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</si>
  <si>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</si>
  <si>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</si>
  <si>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</si>
  <si>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</si>
  <si>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</si>
  <si>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</si>
  <si>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</si>
  <si>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</si>
  <si>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</si>
  <si>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</si>
  <si>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</si>
  <si>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</si>
  <si>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</si>
  <si>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</si>
  <si>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</si>
  <si>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</si>
  <si>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</si>
  <si>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</si>
  <si>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</si>
  <si>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</si>
  <si>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</si>
  <si>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</si>
  <si>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</si>
  <si>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</si>
  <si>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</si>
  <si>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</si>
  <si>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</si>
  <si>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</si>
  <si>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</si>
  <si>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</si>
  <si>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</si>
  <si>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</si>
  <si>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</si>
  <si>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</si>
  <si>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</si>
  <si>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</si>
  <si>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</si>
  <si>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</si>
  <si>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</si>
  <si>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</si>
  <si>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</si>
  <si>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</si>
  <si>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</si>
  <si>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</si>
  <si>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</si>
  <si>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</si>
  <si>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</si>
  <si>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</si>
  <si>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</si>
  <si>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</si>
  <si>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</si>
  <si>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</si>
  <si>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</si>
  <si>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</si>
  <si>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</si>
  <si>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</si>
  <si>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</si>
  <si>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</si>
  <si>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</si>
  <si>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</si>
  <si>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</si>
  <si>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</si>
  <si>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</si>
  <si>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</si>
  <si>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</si>
  <si>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</si>
  <si>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</si>
  <si>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</si>
  <si>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</si>
  <si>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</si>
  <si>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</si>
  <si>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</si>
  <si>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</si>
  <si>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</si>
  <si>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</si>
  <si>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</si>
  <si>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</si>
  <si>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</si>
  <si>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</si>
  <si>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</si>
  <si>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</si>
  <si>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</si>
  <si>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</si>
  <si>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</si>
  <si>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</si>
  <si>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</si>
  <si>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</si>
  <si>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</si>
  <si>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</si>
  <si>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</si>
  <si>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</si>
  <si>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</si>
  <si>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</si>
  <si>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</si>
  <si>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</si>
  <si>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</si>
  <si>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</si>
  <si>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</si>
  <si>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</si>
  <si>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</si>
  <si>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</si>
  <si>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</si>
  <si>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</si>
  <si>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</si>
  <si>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</si>
  <si>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</si>
  <si>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</si>
  <si>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</si>
  <si>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</si>
  <si>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</si>
  <si>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</si>
  <si>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</si>
  <si>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</si>
  <si>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</si>
  <si>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</si>
  <si>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</si>
  <si>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</si>
  <si>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</si>
  <si>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</si>
  <si>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</si>
  <si>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</si>
  <si>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</si>
  <si>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</si>
  <si>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</si>
  <si>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</si>
  <si>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</si>
  <si>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</si>
  <si>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</si>
  <si>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</si>
  <si>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</si>
  <si>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</si>
  <si>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</si>
  <si>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</si>
  <si>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</si>
  <si>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</si>
  <si>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</si>
  <si>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</si>
  <si>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</si>
  <si>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</si>
  <si>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</si>
  <si>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</si>
  <si>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</si>
  <si>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</si>
  <si>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</si>
  <si>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</si>
  <si>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</si>
  <si>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</si>
  <si>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</si>
  <si>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</si>
  <si>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</si>
  <si>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</si>
  <si>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</si>
  <si>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</si>
  <si>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</si>
  <si>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</si>
  <si>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</si>
  <si>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</si>
  <si>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</si>
  <si>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</si>
  <si>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</si>
  <si>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</si>
  <si>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</si>
  <si>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</si>
  <si>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</si>
  <si>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</si>
  <si>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</si>
  <si>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</si>
  <si>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</si>
  <si>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</si>
  <si>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</si>
  <si>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</si>
  <si>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</si>
  <si>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</si>
  <si>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</si>
  <si>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</si>
  <si>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</si>
  <si>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</si>
  <si>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</si>
  <si>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</si>
  <si>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</si>
  <si>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</si>
  <si>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</si>
  <si>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</si>
  <si>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</si>
  <si>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</si>
  <si>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</si>
  <si>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</si>
  <si>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</si>
  <si>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</si>
  <si>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</si>
  <si>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</si>
  <si>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</si>
  <si>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</si>
  <si>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</si>
  <si>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</si>
  <si>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</si>
  <si>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</si>
  <si>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</si>
  <si>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</si>
  <si>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</si>
  <si>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</si>
  <si>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</si>
  <si>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</si>
  <si>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</si>
  <si>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</si>
  <si>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</si>
  <si>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</si>
  <si>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</si>
  <si>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</si>
  <si>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</si>
  <si>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</si>
  <si>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</si>
  <si>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</si>
  <si>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</si>
  <si>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</si>
  <si>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</si>
  <si>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</si>
  <si>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</si>
  <si>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</si>
  <si>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</si>
  <si>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</si>
  <si>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</si>
  <si>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</si>
  <si>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</si>
  <si>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</si>
  <si>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</si>
  <si>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</si>
  <si>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</si>
  <si>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</si>
  <si>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</si>
  <si>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</si>
  <si>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</si>
  <si>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</si>
  <si>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</si>
  <si>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</si>
  <si>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</si>
  <si>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</si>
  <si>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</si>
  <si>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</si>
  <si>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</si>
  <si>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</si>
  <si>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</si>
  <si>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</si>
  <si>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</si>
  <si>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</si>
  <si>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</si>
  <si>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</si>
  <si>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</si>
  <si>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</si>
  <si>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</si>
  <si>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</si>
  <si>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</si>
  <si>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</si>
  <si>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</si>
  <si>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</si>
  <si>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</si>
  <si>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</si>
  <si>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</si>
  <si>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</si>
  <si>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</si>
  <si>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</si>
  <si>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</si>
  <si>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</si>
  <si>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</si>
  <si>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</si>
  <si>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</si>
  <si>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</si>
  <si>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</si>
  <si>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</si>
  <si>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</si>
  <si>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</si>
  <si>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</si>
  <si>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</si>
  <si>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</si>
  <si>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</si>
  <si>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</si>
  <si>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</si>
  <si>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</si>
  <si>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</si>
  <si>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</si>
  <si>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</si>
  <si>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</si>
  <si>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</si>
  <si>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</si>
  <si>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</si>
  <si>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</si>
  <si>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</si>
  <si>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</si>
  <si>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</si>
  <si>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</si>
  <si>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</si>
  <si>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</si>
  <si>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</si>
  <si>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</si>
  <si>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</si>
  <si>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</si>
  <si>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</si>
  <si>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</si>
  <si>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</si>
  <si>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</si>
  <si>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</si>
  <si>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</si>
  <si>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</si>
  <si>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</si>
  <si>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</si>
  <si>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</si>
  <si>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</si>
  <si>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</si>
  <si>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</si>
  <si>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</si>
  <si>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</si>
  <si>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</si>
  <si>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</si>
  <si>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</si>
  <si>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</si>
  <si>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</si>
  <si>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</si>
  <si>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</si>
  <si>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</si>
  <si>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</si>
  <si>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</si>
  <si>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</si>
  <si>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</si>
  <si>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</si>
  <si>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</si>
  <si>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</si>
  <si>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</si>
  <si>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</si>
  <si>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</si>
  <si>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</si>
  <si>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</si>
  <si>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</si>
  <si>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</si>
  <si>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</si>
  <si>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</si>
  <si>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</si>
  <si>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</si>
  <si>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</si>
  <si>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</si>
  <si>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</si>
  <si>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</si>
  <si>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</si>
  <si>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</si>
  <si>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</si>
  <si>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</si>
  <si>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</si>
  <si>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</si>
  <si>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</si>
  <si>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</si>
  <si>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</si>
  <si>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</si>
  <si>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</si>
  <si>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</si>
  <si>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</si>
  <si>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</si>
  <si>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</si>
  <si>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</si>
  <si>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</si>
  <si>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</si>
  <si>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</si>
  <si>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</si>
  <si>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</si>
  <si>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</si>
  <si>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</si>
  <si>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</si>
  <si>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</si>
  <si>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</si>
  <si>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</si>
  <si>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</si>
  <si>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</si>
  <si>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</si>
  <si>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</si>
  <si>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</si>
  <si>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</si>
  <si>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</si>
  <si>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</si>
  <si>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</si>
  <si>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</si>
  <si>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</si>
  <si>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</si>
  <si>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</si>
  <si>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</si>
  <si>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</si>
  <si>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</si>
  <si>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</si>
  <si>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</si>
  <si>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</si>
  <si>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</si>
  <si>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</si>
  <si>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</si>
  <si>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</si>
  <si>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</si>
  <si>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</si>
  <si>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</si>
  <si>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</si>
  <si>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</si>
  <si>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</si>
  <si>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</si>
  <si>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</si>
  <si>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</si>
  <si>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</si>
  <si>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</si>
  <si>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</si>
  <si>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</si>
  <si>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</si>
  <si>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</si>
  <si>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</si>
  <si>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</si>
  <si>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</si>
  <si>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</si>
  <si>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</si>
  <si>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</si>
  <si>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</si>
  <si>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</si>
  <si>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</si>
  <si>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</si>
  <si>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</si>
  <si>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</si>
  <si>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</si>
  <si>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</si>
  <si>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</si>
  <si>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</si>
  <si>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</si>
  <si>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</si>
  <si>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</si>
  <si>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</si>
  <si>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</si>
  <si>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</si>
  <si>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</si>
  <si>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</si>
  <si>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</si>
  <si>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</si>
  <si>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</si>
  <si>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</si>
  <si>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</si>
  <si>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</si>
  <si>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</si>
  <si>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</si>
  <si>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</si>
  <si>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</si>
  <si>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</si>
  <si>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</si>
  <si>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</si>
  <si>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</si>
  <si>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</si>
  <si>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</si>
  <si>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</si>
  <si>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</si>
  <si>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</si>
  <si>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</si>
  <si>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</si>
  <si>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</si>
  <si>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</si>
  <si>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</si>
  <si>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</si>
  <si>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</si>
  <si>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</si>
  <si>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</si>
  <si>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</si>
  <si>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</si>
  <si>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</si>
  <si>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</si>
  <si>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</si>
  <si>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</si>
  <si>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</si>
  <si>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</si>
  <si>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</si>
  <si>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</si>
  <si>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</si>
  <si>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</si>
  <si>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</si>
  <si>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</si>
  <si>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</si>
  <si>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</si>
  <si>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</si>
  <si>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</si>
  <si>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</si>
  <si>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</si>
  <si>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</si>
  <si>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</si>
  <si>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</si>
  <si>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</si>
  <si>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</si>
  <si>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</si>
  <si>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</si>
  <si>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</si>
  <si>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</si>
  <si>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</si>
  <si>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</si>
  <si>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</si>
  <si>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</si>
  <si>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</si>
  <si>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</si>
  <si>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</si>
  <si>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</si>
  <si>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</si>
  <si>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</si>
  <si>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</si>
  <si>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</si>
  <si>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</si>
  <si>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</si>
  <si>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</si>
  <si>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</si>
  <si>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</si>
  <si>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</si>
  <si>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</si>
  <si>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</si>
  <si>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</si>
  <si>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</si>
  <si>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</si>
  <si>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</si>
  <si>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</si>
  <si>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</si>
  <si>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</si>
  <si>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</si>
  <si>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</si>
  <si>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</si>
  <si>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</si>
  <si>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</si>
  <si>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</si>
  <si>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</si>
  <si>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</si>
  <si>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</si>
  <si>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</si>
  <si>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</si>
  <si>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</si>
  <si>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</si>
  <si>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</si>
  <si>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</si>
  <si>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</si>
  <si>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</si>
  <si>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</si>
  <si>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</si>
  <si>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</si>
  <si>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</si>
  <si>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</si>
  <si>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</si>
  <si>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</si>
  <si>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</si>
  <si>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Prior Year Adjustment-Impact Fees</t>
  </si>
  <si>
    <t>04/02</t>
  </si>
  <si>
    <t>07/22</t>
  </si>
  <si>
    <t>02/04</t>
  </si>
  <si>
    <t>08/16</t>
  </si>
  <si>
    <t>06/05</t>
  </si>
  <si>
    <t>08/25</t>
  </si>
  <si>
    <t>07/08</t>
  </si>
  <si>
    <t>07/28</t>
  </si>
  <si>
    <t>LONDONDERRY SCHOOL DISTRICT</t>
  </si>
  <si>
    <t>$91,302 - Impact Fees held by Town for School</t>
  </si>
  <si>
    <t>$361,871.67 - Lease Payment</t>
  </si>
  <si>
    <t>$731,887.50 - Interest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</si>
</sst>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zoomScaleNormal="75" workbookViewId="0">
      <pane xSplit="5" ySplit="3" topLeftCell="F622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918</v>
      </c>
      <c r="B2" s="21">
        <v>319</v>
      </c>
      <c r="C2" s="21">
        <v>319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3026306.04</v>
      </c>
      <c r="G9" s="18">
        <v>5600</v>
      </c>
      <c r="H9" s="18"/>
      <c r="I9" s="18"/>
      <c r="J9" s="67">
        <f>SUM(I438)</f>
        <v>443639.06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276488.64</v>
      </c>
      <c r="G12" s="18">
        <v>20217.75</v>
      </c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20255.25</v>
      </c>
      <c r="H13" s="18">
        <v>388057.28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19482</v>
      </c>
      <c r="G14" s="18">
        <v>21014.31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21708.98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2180.9299999999998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3324457.6100000003</v>
      </c>
      <c r="G19" s="41">
        <f>SUM(G9:G18)</f>
        <v>88796.29</v>
      </c>
      <c r="H19" s="41">
        <f>SUM(H9:H18)</f>
        <v>388057.28</v>
      </c>
      <c r="I19" s="41">
        <f>SUM(I9:I18)</f>
        <v>0</v>
      </c>
      <c r="J19" s="41">
        <f>SUM(J9:J18)</f>
        <v>443639.06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296706.39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1335789.05</v>
      </c>
      <c r="G24" s="18">
        <v>41902.85</v>
      </c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535395.82999999996</v>
      </c>
      <c r="G28" s="18">
        <v>19622.25</v>
      </c>
      <c r="H28" s="18">
        <v>14057.75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240247.84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2111432.7199999997</v>
      </c>
      <c r="G32" s="41">
        <f>SUM(G22:G31)</f>
        <v>61525.1</v>
      </c>
      <c r="H32" s="41">
        <f>SUM(H22:H31)</f>
        <v>310764.14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21708.98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2180.9299999999998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>
        <v>77293.14</v>
      </c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100000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>
        <v>11780.86</v>
      </c>
      <c r="G47" s="18">
        <v>5562.21</v>
      </c>
      <c r="H47" s="18"/>
      <c r="I47" s="18"/>
      <c r="J47" s="13">
        <f>SUM(I458)</f>
        <v>443639.06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186900</v>
      </c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912163.1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1213024.8899999999</v>
      </c>
      <c r="G50" s="41">
        <f>SUM(G35:G49)</f>
        <v>27271.19</v>
      </c>
      <c r="H50" s="41">
        <f>SUM(H35:H49)</f>
        <v>77293.14</v>
      </c>
      <c r="I50" s="41">
        <f>SUM(I35:I49)</f>
        <v>0</v>
      </c>
      <c r="J50" s="41">
        <f>SUM(J35:J49)</f>
        <v>443639.06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3324457.6099999994</v>
      </c>
      <c r="G51" s="41">
        <f>G50+G32</f>
        <v>88796.29</v>
      </c>
      <c r="H51" s="41">
        <f>H50+H32</f>
        <v>388057.28</v>
      </c>
      <c r="I51" s="41">
        <f>I50+I32</f>
        <v>0</v>
      </c>
      <c r="J51" s="41">
        <f>J50+J32</f>
        <v>443639.06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42553516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42553516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95657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22344.5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>
        <v>11982.5</v>
      </c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39508.6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14303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v>225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184020.6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>
        <v>2530</v>
      </c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2530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/>
      <c r="G95" s="18">
        <v>20.29</v>
      </c>
      <c r="H95" s="18"/>
      <c r="I95" s="18"/>
      <c r="J95" s="18">
        <v>243.87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972491.73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15202.99</v>
      </c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>
        <v>46811.85</v>
      </c>
      <c r="G98" s="18">
        <f>34899.6+200</f>
        <v>35099.599999999999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v>2013.57</v>
      </c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3031.08</v>
      </c>
      <c r="G109" s="18"/>
      <c r="H109" s="18">
        <v>3991</v>
      </c>
      <c r="I109" s="18"/>
      <c r="J109" s="18">
        <v>91302</v>
      </c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65045.919999999998</v>
      </c>
      <c r="G110" s="41">
        <f>SUM(G95:G109)</f>
        <v>1007611.62</v>
      </c>
      <c r="H110" s="41">
        <f>SUM(H95:H109)</f>
        <v>6004.57</v>
      </c>
      <c r="I110" s="41">
        <f>SUM(I95:I109)</f>
        <v>0</v>
      </c>
      <c r="J110" s="41">
        <f>SUM(J95:J109)</f>
        <v>91545.87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42805112.520000003</v>
      </c>
      <c r="G111" s="41">
        <f>G59+G110</f>
        <v>1007611.62</v>
      </c>
      <c r="H111" s="41">
        <f>H59+H78+H93+H110</f>
        <v>6004.57</v>
      </c>
      <c r="I111" s="41">
        <f>I59+I110</f>
        <v>0</v>
      </c>
      <c r="J111" s="41">
        <f>J59+J110</f>
        <v>91545.87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14646530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6581137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21227667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539694.51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445953.73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12119.35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21328.93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>
        <v>565</v>
      </c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17838.349999999999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>
        <v>799.87</v>
      </c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1020461.39</v>
      </c>
      <c r="G135" s="41">
        <f>SUM(G122:G134)</f>
        <v>17838.349999999999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22248128.390000001</v>
      </c>
      <c r="G139" s="41">
        <f>G120+SUM(G135:G136)</f>
        <v>17838.349999999999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156006.96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140493.75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>
        <v>58641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266614.68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1134872.72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227074.03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>
        <v>47260.66</v>
      </c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227074.03</v>
      </c>
      <c r="G161" s="41">
        <f>SUM(G149:G160)</f>
        <v>313875.33999999997</v>
      </c>
      <c r="H161" s="41">
        <f>SUM(H149:H160)</f>
        <v>1490014.43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227074.03</v>
      </c>
      <c r="G168" s="41">
        <f>G146+G161+SUM(G162:G167)</f>
        <v>313875.33999999997</v>
      </c>
      <c r="H168" s="41">
        <f>H146+H161+SUM(H162:H167)</f>
        <v>1490014.43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17255.689999999999</v>
      </c>
      <c r="H178" s="18"/>
      <c r="I178" s="18"/>
      <c r="J178" s="18">
        <v>650000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17255.689999999999</v>
      </c>
      <c r="H182" s="41">
        <f>SUM(H178:H181)</f>
        <v>0</v>
      </c>
      <c r="I182" s="41">
        <f>SUM(I178:I181)</f>
        <v>0</v>
      </c>
      <c r="J182" s="41">
        <f>SUM(J178:J181)</f>
        <v>650000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532337.09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532337.09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>
        <v>436885</v>
      </c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969222.09</v>
      </c>
      <c r="G191" s="41">
        <f>G182+SUM(G187:G190)</f>
        <v>17255.689999999999</v>
      </c>
      <c r="H191" s="41">
        <f>+H182+SUM(H187:H190)</f>
        <v>0</v>
      </c>
      <c r="I191" s="41">
        <f>I176+I182+SUM(I187:I190)</f>
        <v>0</v>
      </c>
      <c r="J191" s="41">
        <f>J182</f>
        <v>650000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66249537.030000009</v>
      </c>
      <c r="G192" s="47">
        <f>G111+G139+G168+G191</f>
        <v>1356581</v>
      </c>
      <c r="H192" s="47">
        <f>H111+H139+H168+H191</f>
        <v>1496019</v>
      </c>
      <c r="I192" s="47">
        <f>I111+I139+I168+I191</f>
        <v>0</v>
      </c>
      <c r="J192" s="47">
        <f>J111+J139+J191</f>
        <v>741545.87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6749190.45+177673.76-0.02</f>
        <v>6926864.1900000004</v>
      </c>
      <c r="G196" s="18">
        <v>3006237.29</v>
      </c>
      <c r="H196" s="18">
        <f>882.41+909.39+993.73</f>
        <v>2785.5299999999997</v>
      </c>
      <c r="I196" s="18">
        <f>79816.92+121524.29+671.85+2670.53+37631.1</f>
        <v>242314.69</v>
      </c>
      <c r="J196" s="18">
        <f>1155.78+5318.96</f>
        <v>6474.74</v>
      </c>
      <c r="K196" s="18"/>
      <c r="L196" s="19">
        <f>SUM(F196:K196)</f>
        <v>10184676.439999999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162802.13+3011416.64+203234.9+303641.75+120831.41</f>
        <v>3801926.83</v>
      </c>
      <c r="G197" s="18">
        <v>1801031.45</v>
      </c>
      <c r="H197" s="18">
        <f>131417.65+2750+18470.91</f>
        <v>152638.56</v>
      </c>
      <c r="I197" s="18">
        <f>4934.42+15044.69+6912.96</f>
        <v>26892.07</v>
      </c>
      <c r="J197" s="18">
        <f>268.8</f>
        <v>268.8</v>
      </c>
      <c r="K197" s="18">
        <f>895+1985</f>
        <v>2880</v>
      </c>
      <c r="L197" s="19">
        <f>SUM(F197:K197)</f>
        <v>5785637.71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f>21932+9684.9+38669.02+28474.02</f>
        <v>98759.94</v>
      </c>
      <c r="G199" s="18">
        <v>40714.160000000003</v>
      </c>
      <c r="H199" s="18"/>
      <c r="I199" s="18">
        <f>2983.08</f>
        <v>2983.08</v>
      </c>
      <c r="J199" s="18"/>
      <c r="K199" s="18"/>
      <c r="L199" s="19">
        <f>SUM(F199:K199)</f>
        <v>142457.18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239369.01+236163.57+607534.47+17552.14+707148.43</f>
        <v>1807767.62</v>
      </c>
      <c r="G201" s="18">
        <v>830005.39</v>
      </c>
      <c r="H201" s="18">
        <f>100904.09</f>
        <v>100904.09</v>
      </c>
      <c r="I201" s="18">
        <f>1500.83+7530.69+1160.63</f>
        <v>10192.150000000001</v>
      </c>
      <c r="J201" s="18"/>
      <c r="K201" s="18">
        <f>170+40.59</f>
        <v>210.59</v>
      </c>
      <c r="L201" s="19">
        <f t="shared" ref="L201:L207" si="0">SUM(F201:K201)</f>
        <v>2749079.84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18493.75+305890.88+93833.21</f>
        <v>418217.84</v>
      </c>
      <c r="G202" s="18">
        <f>132251.38+1860.99+176890.69</f>
        <v>311003.06</v>
      </c>
      <c r="H202" s="18">
        <f>3825.52</f>
        <v>3825.52</v>
      </c>
      <c r="I202" s="18">
        <f>7946.9+38816.94+585+4605.8</f>
        <v>51954.640000000007</v>
      </c>
      <c r="J202" s="18">
        <f>17917.34</f>
        <v>17917.34</v>
      </c>
      <c r="K202" s="18">
        <f>1005.73</f>
        <v>1005.73</v>
      </c>
      <c r="L202" s="19">
        <f t="shared" si="0"/>
        <v>803924.13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135819.62</v>
      </c>
      <c r="G203" s="18">
        <v>64330.39</v>
      </c>
      <c r="H203" s="18">
        <f>138986.31</f>
        <v>138986.31</v>
      </c>
      <c r="I203" s="18">
        <f>11882.53</f>
        <v>11882.53</v>
      </c>
      <c r="J203" s="18">
        <f>13854.15</f>
        <v>13854.15</v>
      </c>
      <c r="K203" s="18">
        <f>7314.66</f>
        <v>7314.66</v>
      </c>
      <c r="L203" s="19">
        <f t="shared" si="0"/>
        <v>372187.66000000003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f>769060.08+6273.62</f>
        <v>775333.7</v>
      </c>
      <c r="G204" s="18">
        <v>402359.66</v>
      </c>
      <c r="H204" s="18">
        <f>10585.43+616.35+920.76+1359.27</f>
        <v>13481.810000000001</v>
      </c>
      <c r="I204" s="18">
        <f>3082.13</f>
        <v>3082.13</v>
      </c>
      <c r="J204" s="18"/>
      <c r="K204" s="18">
        <f>5471</f>
        <v>5471</v>
      </c>
      <c r="L204" s="19">
        <f t="shared" si="0"/>
        <v>1199728.2999999998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f>198743.95</f>
        <v>198743.95</v>
      </c>
      <c r="G205" s="18">
        <v>88389.95</v>
      </c>
      <c r="H205" s="18">
        <f>25511.01</f>
        <v>25511.01</v>
      </c>
      <c r="I205" s="18"/>
      <c r="J205" s="18"/>
      <c r="K205" s="18"/>
      <c r="L205" s="19">
        <f t="shared" si="0"/>
        <v>312644.91000000003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617735.05+280225.72</f>
        <v>897960.77</v>
      </c>
      <c r="G206" s="18">
        <v>373261.42</v>
      </c>
      <c r="H206" s="18">
        <f>2541.5+1782.42+8811.16+26542.83+6511.4+87225.75+18527.79+594744.29</f>
        <v>746687.14</v>
      </c>
      <c r="I206" s="18">
        <f>63836.37+6325.43+58614.2+170358.07+57072.98+3712.32</f>
        <v>359919.37</v>
      </c>
      <c r="J206" s="18">
        <f>6127.36+15544.44+54346.3+29688.43</f>
        <v>105706.53</v>
      </c>
      <c r="K206" s="18">
        <f>137.35</f>
        <v>137.35</v>
      </c>
      <c r="L206" s="19">
        <f t="shared" si="0"/>
        <v>2483672.58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848+1538912.83</f>
        <v>1539760.83</v>
      </c>
      <c r="I207" s="18"/>
      <c r="J207" s="18"/>
      <c r="K207" s="18"/>
      <c r="L207" s="19">
        <f t="shared" si="0"/>
        <v>1539760.83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f>179497.14</f>
        <v>179497.14</v>
      </c>
      <c r="G208" s="18">
        <v>76157.75</v>
      </c>
      <c r="H208" s="18">
        <f>86825.66</f>
        <v>86825.66</v>
      </c>
      <c r="I208" s="18">
        <f>21141.19</f>
        <v>21141.19</v>
      </c>
      <c r="J208" s="18">
        <f>110478.08</f>
        <v>110478.08</v>
      </c>
      <c r="K208" s="18"/>
      <c r="L208" s="19">
        <f>SUM(F208:K208)</f>
        <v>474099.82000000007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15240891.599999996</v>
      </c>
      <c r="G210" s="41">
        <f t="shared" si="1"/>
        <v>6993490.5199999996</v>
      </c>
      <c r="H210" s="41">
        <f t="shared" si="1"/>
        <v>2811406.46</v>
      </c>
      <c r="I210" s="41">
        <f t="shared" si="1"/>
        <v>730361.85000000009</v>
      </c>
      <c r="J210" s="41">
        <f t="shared" si="1"/>
        <v>254699.64</v>
      </c>
      <c r="K210" s="41">
        <f t="shared" si="1"/>
        <v>17019.329999999998</v>
      </c>
      <c r="L210" s="41">
        <f t="shared" si="1"/>
        <v>26047869.399999999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4537641.95</v>
      </c>
      <c r="G214" s="18">
        <v>1978328.2</v>
      </c>
      <c r="H214" s="18">
        <v>24162.04</v>
      </c>
      <c r="I214" s="18">
        <v>115919.04000000001</v>
      </c>
      <c r="J214" s="18">
        <v>4481.7299999999996</v>
      </c>
      <c r="K214" s="18"/>
      <c r="L214" s="19">
        <f>SUM(F214:K214)</f>
        <v>6660532.9600000009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1548738.99</v>
      </c>
      <c r="G215" s="18">
        <v>675904.11</v>
      </c>
      <c r="H215" s="18">
        <v>354987.31</v>
      </c>
      <c r="I215" s="18">
        <v>19169.410000000003</v>
      </c>
      <c r="J215" s="18">
        <v>2017.46</v>
      </c>
      <c r="K215" s="18">
        <v>1985</v>
      </c>
      <c r="L215" s="19">
        <f>SUM(F215:K215)</f>
        <v>2602802.2800000003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165736.93</v>
      </c>
      <c r="G217" s="18">
        <v>69619.600000000006</v>
      </c>
      <c r="H217" s="18">
        <v>9160</v>
      </c>
      <c r="I217" s="18">
        <v>3177.04</v>
      </c>
      <c r="J217" s="18">
        <v>4404.34</v>
      </c>
      <c r="K217" s="18">
        <v>2135</v>
      </c>
      <c r="L217" s="19">
        <f>SUM(F217:K217)</f>
        <v>254232.91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f>40435.2+231402.54+84068.86+42493+120323.27+154289.07</f>
        <v>673011.94</v>
      </c>
      <c r="G219" s="18">
        <v>285174.82</v>
      </c>
      <c r="H219" s="18">
        <f>20247.33+60805.63</f>
        <v>81052.959999999992</v>
      </c>
      <c r="I219" s="18">
        <f>649.53+690.87+2721.14+679.39</f>
        <v>4740.93</v>
      </c>
      <c r="J219" s="18"/>
      <c r="K219" s="18">
        <f>209+23.76</f>
        <v>232.76</v>
      </c>
      <c r="L219" s="19">
        <f t="shared" ref="L219:L225" si="2">SUM(F219:K219)</f>
        <v>1044213.41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f>17520+169858.26+54926.76</f>
        <v>242305.02000000002</v>
      </c>
      <c r="G220" s="18">
        <f>64278.38+1089.36+118419.39</f>
        <v>183787.13</v>
      </c>
      <c r="H220" s="18">
        <f>2239.33</f>
        <v>2239.33</v>
      </c>
      <c r="I220" s="18">
        <f>2352.85+26231.69+479.9+2696.08</f>
        <v>31760.519999999997</v>
      </c>
      <c r="J220" s="18">
        <f>22199.72</f>
        <v>22199.72</v>
      </c>
      <c r="K220" s="18">
        <f>588.72</f>
        <v>588.72</v>
      </c>
      <c r="L220" s="19">
        <f t="shared" si="2"/>
        <v>482880.44000000006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f>79504.17</f>
        <v>79504.17</v>
      </c>
      <c r="G221" s="18">
        <v>37735.81</v>
      </c>
      <c r="H221" s="18">
        <f>81357.83</f>
        <v>81357.83</v>
      </c>
      <c r="I221" s="18">
        <f>6955.63</f>
        <v>6955.63</v>
      </c>
      <c r="J221" s="18">
        <f>8109.74</f>
        <v>8109.74</v>
      </c>
      <c r="K221" s="18">
        <f>4281.75</f>
        <v>4281.75</v>
      </c>
      <c r="L221" s="19">
        <f t="shared" si="2"/>
        <v>217944.93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f>373478.24+3672.36</f>
        <v>377150.6</v>
      </c>
      <c r="G222" s="18">
        <v>174257.04</v>
      </c>
      <c r="H222" s="18">
        <f>5806.29+3448.45+2353.46+795.67</f>
        <v>12403.87</v>
      </c>
      <c r="I222" s="18">
        <f>951.76</f>
        <v>951.76</v>
      </c>
      <c r="J222" s="18"/>
      <c r="K222" s="18">
        <f>2795</f>
        <v>2795</v>
      </c>
      <c r="L222" s="19">
        <f t="shared" si="2"/>
        <v>567558.27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f>116337.92</f>
        <v>116337.92</v>
      </c>
      <c r="G223" s="18">
        <v>51676.52</v>
      </c>
      <c r="H223" s="18">
        <f>14933.27</f>
        <v>14933.27</v>
      </c>
      <c r="I223" s="18"/>
      <c r="J223" s="18"/>
      <c r="K223" s="18"/>
      <c r="L223" s="19">
        <f t="shared" si="2"/>
        <v>182947.71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f>407870.97+185391.07</f>
        <v>593262.04</v>
      </c>
      <c r="G224" s="18">
        <v>250557.63</v>
      </c>
      <c r="H224" s="18">
        <f>1727.11+2548.98+9955.5+2091.6+68696.03+6373.52+133304.14</f>
        <v>224696.88</v>
      </c>
      <c r="I224" s="18">
        <f>43002.5+7623.86+33756.96+99730.72+2294.66</f>
        <v>186408.7</v>
      </c>
      <c r="J224" s="18">
        <f>17852.66+3254+19792.29</f>
        <v>40898.949999999997</v>
      </c>
      <c r="K224" s="18">
        <f>80.4</f>
        <v>80.400000000000006</v>
      </c>
      <c r="L224" s="19">
        <f t="shared" si="2"/>
        <v>1295904.5999999999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f>18036.08+1706.5+718264.86</f>
        <v>738007.44</v>
      </c>
      <c r="I225" s="18"/>
      <c r="J225" s="18"/>
      <c r="K225" s="18"/>
      <c r="L225" s="19">
        <f t="shared" si="2"/>
        <v>738007.44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f>105071.5</f>
        <v>105071.5</v>
      </c>
      <c r="G226" s="18">
        <v>44583.91</v>
      </c>
      <c r="H226" s="18">
        <f>50824.78</f>
        <v>50824.78</v>
      </c>
      <c r="I226" s="18">
        <f>12375.33</f>
        <v>12375.33</v>
      </c>
      <c r="J226" s="18">
        <f>85370.09</f>
        <v>85370.09</v>
      </c>
      <c r="K226" s="18"/>
      <c r="L226" s="19">
        <f>SUM(F226:K226)</f>
        <v>298225.61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8438761.0599999987</v>
      </c>
      <c r="G228" s="41">
        <f>SUM(G214:G227)</f>
        <v>3751624.77</v>
      </c>
      <c r="H228" s="41">
        <f>SUM(H214:H227)</f>
        <v>1593825.71</v>
      </c>
      <c r="I228" s="41">
        <f>SUM(I214:I227)</f>
        <v>381458.36000000004</v>
      </c>
      <c r="J228" s="41">
        <f>SUM(J214:J227)</f>
        <v>167482.03</v>
      </c>
      <c r="K228" s="41">
        <f t="shared" si="3"/>
        <v>12098.63</v>
      </c>
      <c r="L228" s="41">
        <f t="shared" si="3"/>
        <v>14345250.560000001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6478708.9200000009</v>
      </c>
      <c r="G232" s="18">
        <v>2725539.73</v>
      </c>
      <c r="H232" s="18">
        <v>24316.3</v>
      </c>
      <c r="I232" s="18">
        <v>245415.31</v>
      </c>
      <c r="J232" s="18">
        <v>35974.83</v>
      </c>
      <c r="K232" s="18">
        <v>4215</v>
      </c>
      <c r="L232" s="19">
        <f>SUM(F232:K232)</f>
        <v>9514170.0900000017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1762611.19</v>
      </c>
      <c r="G233" s="18">
        <v>893180.06</v>
      </c>
      <c r="H233" s="18">
        <v>1006300.7100000001</v>
      </c>
      <c r="I233" s="18">
        <v>10254.189999999999</v>
      </c>
      <c r="J233" s="18">
        <v>1758.75</v>
      </c>
      <c r="K233" s="18"/>
      <c r="L233" s="19">
        <f>SUM(F233:K233)</f>
        <v>3674104.9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v>62623.19</v>
      </c>
      <c r="I234" s="18"/>
      <c r="J234" s="18"/>
      <c r="K234" s="18"/>
      <c r="L234" s="19">
        <f>SUM(F234:K234)</f>
        <v>62623.19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555302.88</v>
      </c>
      <c r="G235" s="18">
        <v>232917.15</v>
      </c>
      <c r="H235" s="18">
        <v>114437.70000000001</v>
      </c>
      <c r="I235" s="18">
        <v>45232.37</v>
      </c>
      <c r="J235" s="18">
        <v>90536.889999999985</v>
      </c>
      <c r="K235" s="18">
        <v>32674.71</v>
      </c>
      <c r="L235" s="19">
        <f>SUM(F235:K235)</f>
        <v>1071101.7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f>153337.81+503312.9+27471.08+81180.1+125017.88+118598.78</f>
        <v>1008918.5499999999</v>
      </c>
      <c r="G237" s="18">
        <v>439194.49</v>
      </c>
      <c r="H237" s="18">
        <f>454.31+2151.44+21231.85+189022.13</f>
        <v>212859.73</v>
      </c>
      <c r="I237" s="18">
        <f>2230.29+2000+595+1673.23+990.78</f>
        <v>7489.3</v>
      </c>
      <c r="J237" s="18"/>
      <c r="K237" s="18">
        <f>1438+1179+450.08+34.65</f>
        <v>3101.73</v>
      </c>
      <c r="L237" s="19">
        <f t="shared" ref="L237:L243" si="4">SUM(F237:K237)</f>
        <v>1671563.8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f>18624+268839.36+80101.52</f>
        <v>367564.88</v>
      </c>
      <c r="G238" s="18">
        <f>74261.38+1588.65+151598.56</f>
        <v>227448.59</v>
      </c>
      <c r="H238" s="18">
        <f>2945+3265.69</f>
        <v>6210.6900000000005</v>
      </c>
      <c r="I238" s="18">
        <f>3642.43+54859.53+1917.72+3931.79</f>
        <v>64351.47</v>
      </c>
      <c r="J238" s="18">
        <f>41427.21</f>
        <v>41427.21</v>
      </c>
      <c r="K238" s="18">
        <f>858.55</f>
        <v>858.55</v>
      </c>
      <c r="L238" s="19">
        <f t="shared" si="4"/>
        <v>707861.3899999999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f>115943.58</f>
        <v>115943.58</v>
      </c>
      <c r="G239" s="18">
        <v>54934.99</v>
      </c>
      <c r="H239" s="18">
        <f>118646.84</f>
        <v>118646.84</v>
      </c>
      <c r="I239" s="18">
        <f>10143.62</f>
        <v>10143.620000000001</v>
      </c>
      <c r="J239" s="18">
        <f>11826.71</f>
        <v>11826.71</v>
      </c>
      <c r="K239" s="18">
        <f>6244.22</f>
        <v>6244.22</v>
      </c>
      <c r="L239" s="19">
        <f t="shared" si="4"/>
        <v>317739.96000000002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f>790759.33+5355.53</f>
        <v>796114.86</v>
      </c>
      <c r="G240" s="18">
        <v>365002.25</v>
      </c>
      <c r="H240" s="18">
        <f>3845+10651.07+15268.36+2714.85+14239.83+1160.36</f>
        <v>47879.47</v>
      </c>
      <c r="I240" s="18">
        <f>620.95+6035.7</f>
        <v>6656.65</v>
      </c>
      <c r="J240" s="18"/>
      <c r="K240" s="18">
        <f>4052</f>
        <v>4052</v>
      </c>
      <c r="L240" s="19">
        <f t="shared" si="4"/>
        <v>1219705.2299999997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f>169659.47</f>
        <v>169659.47</v>
      </c>
      <c r="G241" s="18">
        <v>75432.27</v>
      </c>
      <c r="H241" s="18">
        <f>21777.69</f>
        <v>21777.69</v>
      </c>
      <c r="I241" s="18"/>
      <c r="J241" s="18"/>
      <c r="K241" s="18"/>
      <c r="L241" s="19">
        <f t="shared" si="4"/>
        <v>266869.43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f>591371.2+293625.79</f>
        <v>884996.99</v>
      </c>
      <c r="G242" s="18">
        <v>367138.21</v>
      </c>
      <c r="H242" s="18">
        <f>1506.11+1133.84+19991.87+22047.64+4006.8+125045.01+53915.41+376312.63</f>
        <v>603959.31000000006</v>
      </c>
      <c r="I242" s="18">
        <f>45351.39+30268.64+90388.18+244750.62+3280.09</f>
        <v>414038.92</v>
      </c>
      <c r="J242" s="18">
        <f>2995+67203.6+9670.75+49480.73</f>
        <v>129350.08000000002</v>
      </c>
      <c r="K242" s="18">
        <f>117.25</f>
        <v>117.25</v>
      </c>
      <c r="L242" s="19">
        <f t="shared" si="4"/>
        <v>2399600.7600000002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f>72058.26+10985.31+765391.32</f>
        <v>848434.8899999999</v>
      </c>
      <c r="I243" s="18"/>
      <c r="J243" s="18"/>
      <c r="K243" s="18"/>
      <c r="L243" s="19">
        <f t="shared" si="4"/>
        <v>848434.8899999999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f>153229.27</f>
        <v>153229.26999999999</v>
      </c>
      <c r="G244" s="18">
        <v>65050.33</v>
      </c>
      <c r="H244" s="18">
        <f>74119.47</f>
        <v>74119.47</v>
      </c>
      <c r="I244" s="18">
        <f>18047.36</f>
        <v>18047.36</v>
      </c>
      <c r="J244" s="18">
        <f>103429.84</f>
        <v>103429.84</v>
      </c>
      <c r="K244" s="18"/>
      <c r="L244" s="19">
        <f>SUM(F244:K244)</f>
        <v>413876.2699999999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12293050.590000004</v>
      </c>
      <c r="G246" s="41">
        <f t="shared" si="5"/>
        <v>5445838.0699999994</v>
      </c>
      <c r="H246" s="41">
        <f t="shared" si="5"/>
        <v>3141565.9899999998</v>
      </c>
      <c r="I246" s="41">
        <f t="shared" si="5"/>
        <v>821629.19000000006</v>
      </c>
      <c r="J246" s="41">
        <f t="shared" si="5"/>
        <v>414304.30999999994</v>
      </c>
      <c r="K246" s="41">
        <f t="shared" si="5"/>
        <v>51263.460000000006</v>
      </c>
      <c r="L246" s="41">
        <f t="shared" si="5"/>
        <v>22167651.610000003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>
        <v>32036</v>
      </c>
      <c r="G250" s="18">
        <v>22361.94</v>
      </c>
      <c r="H250" s="18">
        <f>3800</f>
        <v>3800</v>
      </c>
      <c r="I250" s="18">
        <f>676.87+911.83+384.28</f>
        <v>1972.98</v>
      </c>
      <c r="J250" s="18"/>
      <c r="K250" s="18"/>
      <c r="L250" s="19">
        <f t="shared" si="6"/>
        <v>60170.920000000006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32036</v>
      </c>
      <c r="G255" s="41">
        <f t="shared" si="7"/>
        <v>22361.94</v>
      </c>
      <c r="H255" s="41">
        <f t="shared" si="7"/>
        <v>3800</v>
      </c>
      <c r="I255" s="41">
        <f t="shared" si="7"/>
        <v>1972.98</v>
      </c>
      <c r="J255" s="41">
        <f t="shared" si="7"/>
        <v>0</v>
      </c>
      <c r="K255" s="41">
        <f t="shared" si="7"/>
        <v>0</v>
      </c>
      <c r="L255" s="41">
        <f>SUM(F255:K255)</f>
        <v>60170.920000000006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36004739.25</v>
      </c>
      <c r="G256" s="41">
        <f t="shared" si="8"/>
        <v>16213315.299999999</v>
      </c>
      <c r="H256" s="41">
        <f t="shared" si="8"/>
        <v>7550598.1600000001</v>
      </c>
      <c r="I256" s="41">
        <f t="shared" si="8"/>
        <v>1935422.3800000004</v>
      </c>
      <c r="J256" s="41">
        <f t="shared" si="8"/>
        <v>836485.98</v>
      </c>
      <c r="K256" s="41">
        <f t="shared" si="8"/>
        <v>80381.420000000013</v>
      </c>
      <c r="L256" s="41">
        <f t="shared" si="8"/>
        <v>62620942.49000001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1715000</v>
      </c>
      <c r="L259" s="19">
        <f>SUM(F259:K259)</f>
        <v>1715000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1093759.17</v>
      </c>
      <c r="L260" s="19">
        <f>SUM(F260:K260)</f>
        <v>1093759.17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17255.689999999999</v>
      </c>
      <c r="L262" s="19">
        <f>SUM(F262:K262)</f>
        <v>17255.689999999999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650000</v>
      </c>
      <c r="L265" s="19">
        <f t="shared" si="9"/>
        <v>650000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3476014.86</v>
      </c>
      <c r="L269" s="41">
        <f t="shared" si="9"/>
        <v>3476014.86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36004739.25</v>
      </c>
      <c r="G270" s="42">
        <f t="shared" si="11"/>
        <v>16213315.299999999</v>
      </c>
      <c r="H270" s="42">
        <f t="shared" si="11"/>
        <v>7550598.1600000001</v>
      </c>
      <c r="I270" s="42">
        <f t="shared" si="11"/>
        <v>1935422.3800000004</v>
      </c>
      <c r="J270" s="42">
        <f t="shared" si="11"/>
        <v>836485.98</v>
      </c>
      <c r="K270" s="42">
        <f t="shared" si="11"/>
        <v>3556396.28</v>
      </c>
      <c r="L270" s="42">
        <f t="shared" si="11"/>
        <v>66096957.350000009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145548.75</v>
      </c>
      <c r="G275" s="18"/>
      <c r="H275" s="18"/>
      <c r="I275" s="18"/>
      <c r="J275" s="18"/>
      <c r="K275" s="18"/>
      <c r="L275" s="19">
        <f>SUM(F275:K275)</f>
        <v>145548.75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431557.14+110603.46</f>
        <v>542160.6</v>
      </c>
      <c r="G276" s="18"/>
      <c r="H276" s="18">
        <f>1759.47+2325</f>
        <v>4084.4700000000003</v>
      </c>
      <c r="I276" s="18"/>
      <c r="J276" s="18"/>
      <c r="K276" s="18"/>
      <c r="L276" s="19">
        <f>SUM(F276:K276)</f>
        <v>546245.06999999995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f>28200.02+55394.23+30151.16+59259.26</f>
        <v>173004.67</v>
      </c>
      <c r="G280" s="18"/>
      <c r="H280" s="18"/>
      <c r="I280" s="18"/>
      <c r="J280" s="18"/>
      <c r="K280" s="18"/>
      <c r="L280" s="19">
        <f t="shared" ref="L280:L286" si="12">SUM(F280:K280)</f>
        <v>173004.67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10680</v>
      </c>
      <c r="G281" s="18"/>
      <c r="H281" s="18">
        <f>2187.5+4295+4295</f>
        <v>10777.5</v>
      </c>
      <c r="I281" s="18">
        <f>760+1786+1683.91</f>
        <v>4229.91</v>
      </c>
      <c r="J281" s="18">
        <v>542.84</v>
      </c>
      <c r="K281" s="18"/>
      <c r="L281" s="19">
        <f t="shared" si="12"/>
        <v>26230.25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871394.02</v>
      </c>
      <c r="G289" s="42">
        <f t="shared" si="13"/>
        <v>0</v>
      </c>
      <c r="H289" s="42">
        <f t="shared" si="13"/>
        <v>14861.970000000001</v>
      </c>
      <c r="I289" s="42">
        <f t="shared" si="13"/>
        <v>4229.91</v>
      </c>
      <c r="J289" s="42">
        <f t="shared" si="13"/>
        <v>542.84</v>
      </c>
      <c r="K289" s="42">
        <f t="shared" si="13"/>
        <v>0</v>
      </c>
      <c r="L289" s="41">
        <f t="shared" si="13"/>
        <v>891028.74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77233.3</v>
      </c>
      <c r="G295" s="18"/>
      <c r="H295" s="18">
        <v>2325</v>
      </c>
      <c r="I295" s="18">
        <f>5271.4+29724</f>
        <v>34995.4</v>
      </c>
      <c r="J295" s="18">
        <v>3487.95</v>
      </c>
      <c r="K295" s="18"/>
      <c r="L295" s="19">
        <f>SUM(F295:K295)</f>
        <v>118041.65000000001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>
        <v>985.7</v>
      </c>
      <c r="J300" s="18">
        <v>317.76</v>
      </c>
      <c r="K300" s="18"/>
      <c r="L300" s="19">
        <f t="shared" si="14"/>
        <v>1303.46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77233.3</v>
      </c>
      <c r="G308" s="42">
        <f t="shared" si="15"/>
        <v>0</v>
      </c>
      <c r="H308" s="42">
        <f t="shared" si="15"/>
        <v>2325</v>
      </c>
      <c r="I308" s="42">
        <f t="shared" si="15"/>
        <v>35981.1</v>
      </c>
      <c r="J308" s="42">
        <f t="shared" si="15"/>
        <v>3805.71</v>
      </c>
      <c r="K308" s="42">
        <f t="shared" si="15"/>
        <v>0</v>
      </c>
      <c r="L308" s="41">
        <f t="shared" si="15"/>
        <v>119345.11000000002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>
        <v>248</v>
      </c>
      <c r="J313" s="18"/>
      <c r="K313" s="18"/>
      <c r="L313" s="19">
        <f>SUM(F313:K313)</f>
        <v>248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392595.83</v>
      </c>
      <c r="G314" s="18"/>
      <c r="H314" s="18"/>
      <c r="I314" s="18"/>
      <c r="J314" s="18"/>
      <c r="K314" s="18"/>
      <c r="L314" s="19">
        <f>SUM(F314:K314)</f>
        <v>392595.83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15588.96</v>
      </c>
      <c r="G318" s="18"/>
      <c r="H318" s="18"/>
      <c r="I318" s="18"/>
      <c r="J318" s="18"/>
      <c r="K318" s="18"/>
      <c r="L318" s="19">
        <f t="shared" ref="L318:L324" si="16">SUM(F318:K318)</f>
        <v>15588.96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>
        <v>1437.48</v>
      </c>
      <c r="J319" s="18">
        <v>463.4</v>
      </c>
      <c r="K319" s="18"/>
      <c r="L319" s="19">
        <f t="shared" si="16"/>
        <v>1900.88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408184.79000000004</v>
      </c>
      <c r="G327" s="42">
        <f t="shared" si="17"/>
        <v>0</v>
      </c>
      <c r="H327" s="42">
        <f t="shared" si="17"/>
        <v>0</v>
      </c>
      <c r="I327" s="42">
        <f t="shared" si="17"/>
        <v>1685.48</v>
      </c>
      <c r="J327" s="42">
        <f t="shared" si="17"/>
        <v>463.4</v>
      </c>
      <c r="K327" s="42">
        <f t="shared" si="17"/>
        <v>0</v>
      </c>
      <c r="L327" s="41">
        <f t="shared" si="17"/>
        <v>410333.67000000004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>
        <v>16345</v>
      </c>
      <c r="I331" s="18"/>
      <c r="J331" s="18"/>
      <c r="K331" s="18"/>
      <c r="L331" s="19">
        <f t="shared" ref="L331:L336" si="18">SUM(F331:K331)</f>
        <v>16345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>
        <v>22200</v>
      </c>
      <c r="G332" s="18">
        <f>1652.43+2440.82</f>
        <v>4093.25</v>
      </c>
      <c r="H332" s="18"/>
      <c r="I332" s="18">
        <f>475.8+8000</f>
        <v>8475.7999999999993</v>
      </c>
      <c r="J332" s="18">
        <v>23871.95</v>
      </c>
      <c r="K332" s="18"/>
      <c r="L332" s="19">
        <f t="shared" si="18"/>
        <v>58641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22200</v>
      </c>
      <c r="G336" s="41">
        <f t="shared" si="19"/>
        <v>4093.25</v>
      </c>
      <c r="H336" s="41">
        <f t="shared" si="19"/>
        <v>16345</v>
      </c>
      <c r="I336" s="41">
        <f t="shared" si="19"/>
        <v>8475.7999999999993</v>
      </c>
      <c r="J336" s="41">
        <f t="shared" si="19"/>
        <v>23871.95</v>
      </c>
      <c r="K336" s="41">
        <f t="shared" si="19"/>
        <v>0</v>
      </c>
      <c r="L336" s="41">
        <f t="shared" si="18"/>
        <v>74986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1379012.11</v>
      </c>
      <c r="G337" s="41">
        <f t="shared" si="20"/>
        <v>4093.25</v>
      </c>
      <c r="H337" s="41">
        <f t="shared" si="20"/>
        <v>33531.97</v>
      </c>
      <c r="I337" s="41">
        <f t="shared" si="20"/>
        <v>50372.289999999994</v>
      </c>
      <c r="J337" s="41">
        <f t="shared" si="20"/>
        <v>28683.9</v>
      </c>
      <c r="K337" s="41">
        <f t="shared" si="20"/>
        <v>0</v>
      </c>
      <c r="L337" s="41">
        <f t="shared" si="20"/>
        <v>1495693.52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1379012.11</v>
      </c>
      <c r="G351" s="41">
        <f>G337</f>
        <v>4093.25</v>
      </c>
      <c r="H351" s="41">
        <f>H337</f>
        <v>33531.97</v>
      </c>
      <c r="I351" s="41">
        <f>I337</f>
        <v>50372.289999999994</v>
      </c>
      <c r="J351" s="41">
        <f>J337</f>
        <v>28683.9</v>
      </c>
      <c r="K351" s="47">
        <f>K337+K350</f>
        <v>0</v>
      </c>
      <c r="L351" s="41">
        <f>L337+L350</f>
        <v>1495693.52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f>157249.4+52238.97</f>
        <v>209488.37</v>
      </c>
      <c r="G357" s="18">
        <v>29575.67</v>
      </c>
      <c r="H357" s="18">
        <v>6813.64</v>
      </c>
      <c r="I357" s="18">
        <v>308150.03999999998</v>
      </c>
      <c r="J357" s="18">
        <v>2115.89</v>
      </c>
      <c r="K357" s="18">
        <v>429.37</v>
      </c>
      <c r="L357" s="13">
        <f>SUM(F357:K357)</f>
        <v>556572.98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f>123631.97+30578.91</f>
        <v>154210.88</v>
      </c>
      <c r="G358" s="18">
        <v>21829.66</v>
      </c>
      <c r="H358" s="18">
        <v>3988.48</v>
      </c>
      <c r="I358" s="18">
        <v>180380.52</v>
      </c>
      <c r="J358" s="18"/>
      <c r="K358" s="18">
        <v>251.34</v>
      </c>
      <c r="L358" s="19">
        <f>SUM(F358:K358)</f>
        <v>360660.88000000006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f>90637.94+44594.23</f>
        <v>135232.17000000001</v>
      </c>
      <c r="G359" s="18">
        <v>19012.93</v>
      </c>
      <c r="H359" s="18">
        <v>5816.53</v>
      </c>
      <c r="I359" s="18">
        <v>263054.92</v>
      </c>
      <c r="J359" s="18"/>
      <c r="K359" s="18">
        <f>366.54+17200</f>
        <v>17566.54</v>
      </c>
      <c r="L359" s="19">
        <f>SUM(F359:K359)</f>
        <v>440683.08999999997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498931.42000000004</v>
      </c>
      <c r="G361" s="47">
        <f t="shared" si="22"/>
        <v>70418.260000000009</v>
      </c>
      <c r="H361" s="47">
        <f t="shared" si="22"/>
        <v>16618.650000000001</v>
      </c>
      <c r="I361" s="47">
        <f t="shared" si="22"/>
        <v>751585.48</v>
      </c>
      <c r="J361" s="47">
        <f t="shared" si="22"/>
        <v>2115.89</v>
      </c>
      <c r="K361" s="47">
        <f t="shared" si="22"/>
        <v>18247.25</v>
      </c>
      <c r="L361" s="47">
        <f t="shared" si="22"/>
        <v>1357916.9500000002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280056.15999999997</v>
      </c>
      <c r="G366" s="18">
        <v>163935.32</v>
      </c>
      <c r="H366" s="18">
        <v>239072.34</v>
      </c>
      <c r="I366" s="56">
        <f>SUM(F366:H366)</f>
        <v>683063.82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28093.88</v>
      </c>
      <c r="G367" s="63">
        <v>16445.2</v>
      </c>
      <c r="H367" s="63">
        <v>23982.58</v>
      </c>
      <c r="I367" s="56">
        <f>SUM(F367:H367)</f>
        <v>68521.66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308150.03999999998</v>
      </c>
      <c r="G368" s="47">
        <f>SUM(G366:G367)</f>
        <v>180380.52000000002</v>
      </c>
      <c r="H368" s="47">
        <f>SUM(H366:H367)</f>
        <v>263054.92</v>
      </c>
      <c r="I368" s="47">
        <f>SUM(I366:I367)</f>
        <v>751585.48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>
        <v>8.8800000000000008</v>
      </c>
      <c r="I387" s="18"/>
      <c r="J387" s="24" t="s">
        <v>289</v>
      </c>
      <c r="K387" s="24" t="s">
        <v>289</v>
      </c>
      <c r="L387" s="56">
        <f t="shared" si="25"/>
        <v>8.8800000000000008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8.8800000000000008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8.8800000000000008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650000</v>
      </c>
      <c r="H395" s="18">
        <v>178.07</v>
      </c>
      <c r="I395" s="18"/>
      <c r="J395" s="24" t="s">
        <v>289</v>
      </c>
      <c r="K395" s="24" t="s">
        <v>289</v>
      </c>
      <c r="L395" s="56">
        <f t="shared" si="26"/>
        <v>650178.06999999995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30.21</v>
      </c>
      <c r="I396" s="18"/>
      <c r="J396" s="24" t="s">
        <v>289</v>
      </c>
      <c r="K396" s="24" t="s">
        <v>289</v>
      </c>
      <c r="L396" s="56">
        <f t="shared" si="26"/>
        <v>30.21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>
        <v>26.71</v>
      </c>
      <c r="I399" s="18">
        <v>91302</v>
      </c>
      <c r="J399" s="24" t="s">
        <v>289</v>
      </c>
      <c r="K399" s="24" t="s">
        <v>289</v>
      </c>
      <c r="L399" s="56">
        <f t="shared" si="26"/>
        <v>91328.71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650000</v>
      </c>
      <c r="H400" s="47">
        <f>SUM(H394:H399)</f>
        <v>234.99</v>
      </c>
      <c r="I400" s="47">
        <f>SUM(I394:I399)</f>
        <v>91302</v>
      </c>
      <c r="J400" s="45" t="s">
        <v>289</v>
      </c>
      <c r="K400" s="45" t="s">
        <v>289</v>
      </c>
      <c r="L400" s="47">
        <f>SUM(L394:L399)</f>
        <v>741536.98999999987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650000</v>
      </c>
      <c r="H407" s="47">
        <f>H392+H400+H406</f>
        <v>243.87</v>
      </c>
      <c r="I407" s="47">
        <f>I392+I400+I406</f>
        <v>91302</v>
      </c>
      <c r="J407" s="24" t="s">
        <v>289</v>
      </c>
      <c r="K407" s="24" t="s">
        <v>289</v>
      </c>
      <c r="L407" s="47">
        <f>L392+L400+L406</f>
        <v>741545.86999999988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>
        <v>532337.09</v>
      </c>
      <c r="L421" s="56">
        <f t="shared" si="29"/>
        <v>532337.09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532337.09</v>
      </c>
      <c r="L426" s="47">
        <f t="shared" si="30"/>
        <v>532337.09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532337.09</v>
      </c>
      <c r="L433" s="47">
        <f t="shared" si="32"/>
        <v>532337.09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30805.15</v>
      </c>
      <c r="G438" s="18">
        <v>412833.91</v>
      </c>
      <c r="H438" s="18"/>
      <c r="I438" s="56">
        <f t="shared" ref="I438:I444" si="33">SUM(F438:H438)</f>
        <v>443639.06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30805.15</v>
      </c>
      <c r="G445" s="13">
        <f>SUM(G438:G444)</f>
        <v>412833.91</v>
      </c>
      <c r="H445" s="13">
        <f>SUM(H438:H444)</f>
        <v>0</v>
      </c>
      <c r="I445" s="13">
        <f>SUM(I438:I444)</f>
        <v>443639.06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30805.15</v>
      </c>
      <c r="G458" s="18">
        <v>412833.91</v>
      </c>
      <c r="H458" s="18"/>
      <c r="I458" s="56">
        <f t="shared" si="34"/>
        <v>443639.06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30805.15</v>
      </c>
      <c r="G459" s="83">
        <f>SUM(G453:G458)</f>
        <v>412833.91</v>
      </c>
      <c r="H459" s="83">
        <f>SUM(H453:H458)</f>
        <v>0</v>
      </c>
      <c r="I459" s="83">
        <f>SUM(I453:I458)</f>
        <v>443639.06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30805.15</v>
      </c>
      <c r="G460" s="42">
        <f>G451+G459</f>
        <v>412833.91</v>
      </c>
      <c r="H460" s="42">
        <f>H451+H459</f>
        <v>0</v>
      </c>
      <c r="I460" s="42">
        <f>I451+I459</f>
        <v>443639.06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1060445.21</v>
      </c>
      <c r="G464" s="18">
        <v>28607.14</v>
      </c>
      <c r="H464" s="18">
        <v>76967.66</v>
      </c>
      <c r="I464" s="18"/>
      <c r="J464" s="18">
        <v>198435.98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66249537.030000001</v>
      </c>
      <c r="G467" s="18">
        <v>1356581</v>
      </c>
      <c r="H467" s="18">
        <v>1496019</v>
      </c>
      <c r="I467" s="18"/>
      <c r="J467" s="18">
        <v>741545.87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>
        <v>35994.300000000003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66249537.030000001</v>
      </c>
      <c r="G469" s="53">
        <f>SUM(G467:G468)</f>
        <v>1356581</v>
      </c>
      <c r="H469" s="53">
        <f>SUM(H467:H468)</f>
        <v>1496019</v>
      </c>
      <c r="I469" s="53">
        <f>SUM(I467:I468)</f>
        <v>0</v>
      </c>
      <c r="J469" s="53">
        <f>SUM(J467:J468)</f>
        <v>777540.17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66096957.350000001</v>
      </c>
      <c r="G471" s="18">
        <v>1357916.95</v>
      </c>
      <c r="H471" s="18">
        <v>1495693.52</v>
      </c>
      <c r="I471" s="18"/>
      <c r="J471" s="18">
        <v>532337.09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66096957.350000001</v>
      </c>
      <c r="G473" s="53">
        <f>SUM(G471:G472)</f>
        <v>1357916.95</v>
      </c>
      <c r="H473" s="53">
        <f>SUM(H471:H472)</f>
        <v>1495693.52</v>
      </c>
      <c r="I473" s="53">
        <f>SUM(I471:I472)</f>
        <v>0</v>
      </c>
      <c r="J473" s="53">
        <f>SUM(J471:J472)</f>
        <v>532337.09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1213024.8899999931</v>
      </c>
      <c r="G475" s="53">
        <f>(G464+G469)- G473</f>
        <v>27271.189999999944</v>
      </c>
      <c r="H475" s="53">
        <f>(H464+H469)- H473</f>
        <v>77293.139999999898</v>
      </c>
      <c r="I475" s="53">
        <f>(I464+I469)- I473</f>
        <v>0</v>
      </c>
      <c r="J475" s="53">
        <f>(J464+J469)- J473</f>
        <v>443639.06000000006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74" t="s">
        <v>909</v>
      </c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5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>
        <v>13</v>
      </c>
      <c r="H489" s="154">
        <v>20</v>
      </c>
      <c r="I489" s="154">
        <v>20</v>
      </c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 t="s">
        <v>912</v>
      </c>
      <c r="H490" s="155" t="s">
        <v>914</v>
      </c>
      <c r="I490" s="155" t="s">
        <v>916</v>
      </c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 t="s">
        <v>913</v>
      </c>
      <c r="H491" s="155" t="s">
        <v>915</v>
      </c>
      <c r="I491" s="155" t="s">
        <v>917</v>
      </c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12030000</v>
      </c>
      <c r="G492" s="18">
        <v>6935000</v>
      </c>
      <c r="H492" s="18">
        <v>5500000</v>
      </c>
      <c r="I492" s="18">
        <v>5100000</v>
      </c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4.57</v>
      </c>
      <c r="G493" s="18">
        <v>3.25</v>
      </c>
      <c r="H493" s="18">
        <v>3.9</v>
      </c>
      <c r="I493" s="18">
        <v>4.09</v>
      </c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7340000</v>
      </c>
      <c r="G494" s="18">
        <v>2495000</v>
      </c>
      <c r="H494" s="18">
        <v>3850000</v>
      </c>
      <c r="I494" s="18">
        <v>4335000</v>
      </c>
      <c r="J494" s="18"/>
      <c r="K494" s="53">
        <f>SUM(F494:J494)</f>
        <v>18020000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670000</v>
      </c>
      <c r="G496" s="18">
        <v>515000</v>
      </c>
      <c r="H496" s="18">
        <v>275000</v>
      </c>
      <c r="I496" s="18">
        <v>255000</v>
      </c>
      <c r="J496" s="18"/>
      <c r="K496" s="53">
        <f t="shared" si="35"/>
        <v>1715000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6670000</v>
      </c>
      <c r="G497" s="204">
        <v>1980000</v>
      </c>
      <c r="H497" s="204">
        <v>3575000</v>
      </c>
      <c r="I497" s="204">
        <v>4080000</v>
      </c>
      <c r="J497" s="204"/>
      <c r="K497" s="205">
        <f t="shared" si="35"/>
        <v>16305000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1611023.75</v>
      </c>
      <c r="G498" s="18">
        <v>157000</v>
      </c>
      <c r="H498" s="18">
        <v>934175</v>
      </c>
      <c r="I498" s="18">
        <v>1340184.4099999999</v>
      </c>
      <c r="J498" s="18"/>
      <c r="K498" s="53">
        <f t="shared" si="35"/>
        <v>4042383.16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8281023.75</v>
      </c>
      <c r="G499" s="42">
        <f>SUM(G497:G498)</f>
        <v>2137000</v>
      </c>
      <c r="H499" s="42">
        <f>SUM(H497:H498)</f>
        <v>4509175</v>
      </c>
      <c r="I499" s="42">
        <f>SUM(I497:I498)</f>
        <v>5420184.4100000001</v>
      </c>
      <c r="J499" s="42">
        <f>SUM(J497:J498)</f>
        <v>0</v>
      </c>
      <c r="K499" s="42">
        <f t="shared" si="35"/>
        <v>20347383.16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670000</v>
      </c>
      <c r="G500" s="204">
        <v>505000</v>
      </c>
      <c r="H500" s="204">
        <v>275000</v>
      </c>
      <c r="I500" s="204">
        <v>255000</v>
      </c>
      <c r="J500" s="204"/>
      <c r="K500" s="205">
        <f t="shared" si="35"/>
        <v>1705000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300700</v>
      </c>
      <c r="G501" s="18">
        <v>69100</v>
      </c>
      <c r="H501" s="18">
        <v>135712.5</v>
      </c>
      <c r="I501" s="18">
        <v>161606.26</v>
      </c>
      <c r="J501" s="18"/>
      <c r="K501" s="53">
        <f t="shared" si="35"/>
        <v>667118.76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970700</v>
      </c>
      <c r="G502" s="42">
        <f>SUM(G500:G501)</f>
        <v>574100</v>
      </c>
      <c r="H502" s="42">
        <f>SUM(H500:H501)</f>
        <v>410712.5</v>
      </c>
      <c r="I502" s="42">
        <f>SUM(I500:I501)</f>
        <v>416606.26</v>
      </c>
      <c r="J502" s="42">
        <f>SUM(J500:J501)</f>
        <v>0</v>
      </c>
      <c r="K502" s="42">
        <f t="shared" si="35"/>
        <v>2372118.7599999998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>
        <v>2524107</v>
      </c>
      <c r="G506" s="144"/>
      <c r="H506" s="144"/>
      <c r="I506" s="144">
        <v>2699170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1989257.01+1453716.77+29030.54+129912.48+0.02</f>
        <v>3601916.8200000003</v>
      </c>
      <c r="G520" s="18">
        <f>F520*0.4263</f>
        <v>1535497.1403660001</v>
      </c>
      <c r="H520" s="18">
        <f>1759.47+131417.65+2750+8839.2</f>
        <v>144766.32</v>
      </c>
      <c r="I520" s="18">
        <f>4934.42+15044.69+7563.85</f>
        <v>27542.959999999999</v>
      </c>
      <c r="J520" s="18">
        <f>268.8</f>
        <v>268.8</v>
      </c>
      <c r="K520" s="18">
        <f>895</f>
        <v>895</v>
      </c>
      <c r="L520" s="88">
        <f>SUM(F520:K520)</f>
        <v>5310887.0403660005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f>917693.14+428579.3+52901.31</f>
        <v>1399173.75</v>
      </c>
      <c r="G521" s="18">
        <f t="shared" ref="G521:G522" si="36">F521*0.4263</f>
        <v>596467.76962500007</v>
      </c>
      <c r="H521" s="18">
        <f>330060.62+12285+6178.81</f>
        <v>348524.43</v>
      </c>
      <c r="I521" s="18">
        <f>5271.4+5521.78+29724+5063.38</f>
        <v>45580.56</v>
      </c>
      <c r="J521" s="18">
        <f>5505.41</f>
        <v>5505.41</v>
      </c>
      <c r="K521" s="18"/>
      <c r="L521" s="88">
        <f>SUM(F521:K521)</f>
        <v>2395251.9196250006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f>1548753.22+444398.08+64927.39</f>
        <v>2058078.69</v>
      </c>
      <c r="G522" s="18">
        <f t="shared" si="36"/>
        <v>877358.94554700004</v>
      </c>
      <c r="H522" s="18">
        <f>948464.51+42063.52+9248.62</f>
        <v>999776.65</v>
      </c>
      <c r="I522" s="18">
        <f>4719.4</f>
        <v>4719.3999999999996</v>
      </c>
      <c r="J522" s="18"/>
      <c r="K522" s="18"/>
      <c r="L522" s="88">
        <f>SUM(F522:K522)</f>
        <v>3939933.6855469998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7059169.2599999998</v>
      </c>
      <c r="G523" s="108">
        <f t="shared" ref="G523:L523" si="37">SUM(G520:G522)</f>
        <v>3009323.8555380004</v>
      </c>
      <c r="H523" s="108">
        <f t="shared" si="37"/>
        <v>1493067.4</v>
      </c>
      <c r="I523" s="108">
        <f t="shared" si="37"/>
        <v>77842.919999999984</v>
      </c>
      <c r="J523" s="108">
        <f t="shared" si="37"/>
        <v>5774.21</v>
      </c>
      <c r="K523" s="108">
        <f t="shared" si="37"/>
        <v>895</v>
      </c>
      <c r="L523" s="89">
        <f t="shared" si="37"/>
        <v>11646072.645538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f>662928.7+30151.16+17552.14+755224.56</f>
        <v>1465856.56</v>
      </c>
      <c r="G525" s="18">
        <f>F525*0.4263</f>
        <v>624894.65152800002</v>
      </c>
      <c r="H525" s="18">
        <f>100443.16</f>
        <v>100443.16</v>
      </c>
      <c r="I525" s="18">
        <f>971.47</f>
        <v>971.47</v>
      </c>
      <c r="J525" s="18"/>
      <c r="K525" s="18">
        <f>40.59</f>
        <v>40.590000000000003</v>
      </c>
      <c r="L525" s="88">
        <f>SUM(F525:K525)</f>
        <v>2192206.4315280002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f>42493+120323.27+90781.84</f>
        <v>253598.11000000002</v>
      </c>
      <c r="G526" s="18">
        <f t="shared" ref="G526:G527" si="38">F526*0.4263</f>
        <v>108108.87429300002</v>
      </c>
      <c r="H526" s="18">
        <f>133551.5</f>
        <v>133551.5</v>
      </c>
      <c r="I526" s="18">
        <f>568.66</f>
        <v>568.66</v>
      </c>
      <c r="J526" s="18"/>
      <c r="K526" s="18">
        <f>23.76</f>
        <v>23.76</v>
      </c>
      <c r="L526" s="88">
        <f>SUM(F526:K526)</f>
        <v>495850.904293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f>140606.84+80815.7</f>
        <v>221422.53999999998</v>
      </c>
      <c r="G527" s="18">
        <f t="shared" si="38"/>
        <v>94392.428801999995</v>
      </c>
      <c r="H527" s="18">
        <f>115612.96</f>
        <v>115612.96</v>
      </c>
      <c r="I527" s="18">
        <f>5881.25+829.3</f>
        <v>6710.55</v>
      </c>
      <c r="J527" s="18">
        <f>1758.75</f>
        <v>1758.75</v>
      </c>
      <c r="K527" s="18">
        <f>34.65</f>
        <v>34.65</v>
      </c>
      <c r="L527" s="88">
        <f>SUM(F527:K527)</f>
        <v>439931.87880200002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1940877.2100000002</v>
      </c>
      <c r="G528" s="89">
        <f t="shared" ref="G528:L528" si="39">SUM(G525:G527)</f>
        <v>827395.954623</v>
      </c>
      <c r="H528" s="89">
        <f t="shared" si="39"/>
        <v>349607.62</v>
      </c>
      <c r="I528" s="89">
        <f t="shared" si="39"/>
        <v>8250.68</v>
      </c>
      <c r="J528" s="89">
        <f t="shared" si="39"/>
        <v>1758.75</v>
      </c>
      <c r="K528" s="89">
        <f t="shared" si="39"/>
        <v>99</v>
      </c>
      <c r="L528" s="89">
        <f t="shared" si="39"/>
        <v>3127989.214623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f>65999.96+96802.17+53842.91</f>
        <v>216645.04</v>
      </c>
      <c r="G530" s="18">
        <f>F530*0.4263</f>
        <v>92355.780552000011</v>
      </c>
      <c r="H530" s="18">
        <v>2223.52</v>
      </c>
      <c r="I530" s="18">
        <v>189.16</v>
      </c>
      <c r="J530" s="18"/>
      <c r="K530" s="18"/>
      <c r="L530" s="88">
        <f>SUM(F530:K530)</f>
        <v>311413.50055200001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f>67319.98+27345.37+31517.8</f>
        <v>126183.15</v>
      </c>
      <c r="G531" s="18">
        <f t="shared" ref="G531:G532" si="40">F531*0.4263</f>
        <v>53791.876844999999</v>
      </c>
      <c r="H531" s="18">
        <v>1301.57</v>
      </c>
      <c r="I531" s="18">
        <v>110.73</v>
      </c>
      <c r="J531" s="18"/>
      <c r="K531" s="18"/>
      <c r="L531" s="88">
        <f>SUM(F531:K531)</f>
        <v>181387.326845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f>87196.98+25452.91+45963.46</f>
        <v>158613.35</v>
      </c>
      <c r="G532" s="18">
        <f t="shared" si="40"/>
        <v>67616.871104999998</v>
      </c>
      <c r="H532" s="18">
        <v>1898.13</v>
      </c>
      <c r="I532" s="18">
        <v>161.47999999999999</v>
      </c>
      <c r="J532" s="18"/>
      <c r="K532" s="18"/>
      <c r="L532" s="88">
        <f>SUM(F532:K532)</f>
        <v>228289.83110500002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501441.54000000004</v>
      </c>
      <c r="G533" s="89">
        <f t="shared" ref="G533:L533" si="41">SUM(G530:G532)</f>
        <v>213764.528502</v>
      </c>
      <c r="H533" s="89">
        <f t="shared" si="41"/>
        <v>5423.22</v>
      </c>
      <c r="I533" s="89">
        <f t="shared" si="41"/>
        <v>461.37</v>
      </c>
      <c r="J533" s="89">
        <f t="shared" si="41"/>
        <v>0</v>
      </c>
      <c r="K533" s="89">
        <f t="shared" si="41"/>
        <v>0</v>
      </c>
      <c r="L533" s="89">
        <f t="shared" si="41"/>
        <v>721090.65850200003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7642.47</v>
      </c>
      <c r="I535" s="18"/>
      <c r="J535" s="18"/>
      <c r="K535" s="18"/>
      <c r="L535" s="88">
        <f>SUM(F535:K535)</f>
        <v>7642.47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>
        <v>4473.6400000000003</v>
      </c>
      <c r="I536" s="18"/>
      <c r="J536" s="18"/>
      <c r="K536" s="18"/>
      <c r="L536" s="88">
        <f>SUM(F536:K536)</f>
        <v>4473.6400000000003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6524.06</v>
      </c>
      <c r="I537" s="18"/>
      <c r="J537" s="18"/>
      <c r="K537" s="18"/>
      <c r="L537" s="88">
        <f>SUM(F537:K537)</f>
        <v>6524.06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42">SUM(G535:G537)</f>
        <v>0</v>
      </c>
      <c r="H538" s="89">
        <f t="shared" si="42"/>
        <v>18640.170000000002</v>
      </c>
      <c r="I538" s="89">
        <f t="shared" si="42"/>
        <v>0</v>
      </c>
      <c r="J538" s="89">
        <f t="shared" si="42"/>
        <v>0</v>
      </c>
      <c r="K538" s="89">
        <f t="shared" si="42"/>
        <v>0</v>
      </c>
      <c r="L538" s="89">
        <f t="shared" si="42"/>
        <v>18640.170000000002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706896.91</v>
      </c>
      <c r="I540" s="18"/>
      <c r="J540" s="18"/>
      <c r="K540" s="18"/>
      <c r="L540" s="88">
        <f>SUM(F540:K540)</f>
        <v>706896.91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94252.92</v>
      </c>
      <c r="I541" s="18"/>
      <c r="J541" s="18"/>
      <c r="K541" s="18"/>
      <c r="L541" s="88">
        <f>SUM(F541:K541)</f>
        <v>94252.92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141379.38</v>
      </c>
      <c r="I542" s="18"/>
      <c r="J542" s="18"/>
      <c r="K542" s="18"/>
      <c r="L542" s="88">
        <f>SUM(F542:K542)</f>
        <v>141379.38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3">SUM(G540:G542)</f>
        <v>0</v>
      </c>
      <c r="H543" s="193">
        <f t="shared" si="43"/>
        <v>942529.21000000008</v>
      </c>
      <c r="I543" s="193">
        <f t="shared" si="43"/>
        <v>0</v>
      </c>
      <c r="J543" s="193">
        <f t="shared" si="43"/>
        <v>0</v>
      </c>
      <c r="K543" s="193">
        <f t="shared" si="43"/>
        <v>0</v>
      </c>
      <c r="L543" s="193">
        <f t="shared" si="43"/>
        <v>942529.21000000008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9501488.0100000016</v>
      </c>
      <c r="G544" s="89">
        <f t="shared" ref="G544:L544" si="44">G523+G528+G533+G538+G543</f>
        <v>4050484.3386630001</v>
      </c>
      <c r="H544" s="89">
        <f t="shared" si="44"/>
        <v>2809267.62</v>
      </c>
      <c r="I544" s="89">
        <f t="shared" si="44"/>
        <v>86554.969999999972</v>
      </c>
      <c r="J544" s="89">
        <f t="shared" si="44"/>
        <v>7532.96</v>
      </c>
      <c r="K544" s="89">
        <f t="shared" si="44"/>
        <v>994</v>
      </c>
      <c r="L544" s="89">
        <f t="shared" si="44"/>
        <v>16456321.898663001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5310887.0403660005</v>
      </c>
      <c r="G548" s="87">
        <f>L525</f>
        <v>2192206.4315280002</v>
      </c>
      <c r="H548" s="87">
        <f>L530</f>
        <v>311413.50055200001</v>
      </c>
      <c r="I548" s="87">
        <f>L535</f>
        <v>7642.47</v>
      </c>
      <c r="J548" s="87">
        <f>L540</f>
        <v>706896.91</v>
      </c>
      <c r="K548" s="87">
        <f>SUM(F548:J548)</f>
        <v>8529046.3524459992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2395251.9196250006</v>
      </c>
      <c r="G549" s="87">
        <f>L526</f>
        <v>495850.904293</v>
      </c>
      <c r="H549" s="87">
        <f>L531</f>
        <v>181387.326845</v>
      </c>
      <c r="I549" s="87">
        <f>L536</f>
        <v>4473.6400000000003</v>
      </c>
      <c r="J549" s="87">
        <f>L541</f>
        <v>94252.92</v>
      </c>
      <c r="K549" s="87">
        <f>SUM(F549:J549)</f>
        <v>3171216.7107630009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3939933.6855469998</v>
      </c>
      <c r="G550" s="87">
        <f>L527</f>
        <v>439931.87880200002</v>
      </c>
      <c r="H550" s="87">
        <f>L532</f>
        <v>228289.83110500002</v>
      </c>
      <c r="I550" s="87">
        <f>L537</f>
        <v>6524.06</v>
      </c>
      <c r="J550" s="87">
        <f>L542</f>
        <v>141379.38</v>
      </c>
      <c r="K550" s="87">
        <f>SUM(F550:J550)</f>
        <v>4756058.8354539992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5">SUM(F548:F550)</f>
        <v>11646072.645538</v>
      </c>
      <c r="G551" s="89">
        <f t="shared" si="45"/>
        <v>3127989.214623</v>
      </c>
      <c r="H551" s="89">
        <f t="shared" si="45"/>
        <v>721090.65850200003</v>
      </c>
      <c r="I551" s="89">
        <f t="shared" si="45"/>
        <v>18640.170000000002</v>
      </c>
      <c r="J551" s="89">
        <f t="shared" si="45"/>
        <v>942529.21000000008</v>
      </c>
      <c r="K551" s="89">
        <f t="shared" si="45"/>
        <v>16456321.898662999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>
        <v>313838.36</v>
      </c>
      <c r="G556" s="18">
        <f>F556*0.4263</f>
        <v>133789.29286799999</v>
      </c>
      <c r="H556" s="18"/>
      <c r="I556" s="18"/>
      <c r="J556" s="18"/>
      <c r="K556" s="18"/>
      <c r="L556" s="88">
        <f>SUM(F556:K556)</f>
        <v>447627.65286799998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6">SUM(F556:F558)</f>
        <v>313838.36</v>
      </c>
      <c r="G559" s="108">
        <f t="shared" si="46"/>
        <v>133789.29286799999</v>
      </c>
      <c r="H559" s="108">
        <f t="shared" si="46"/>
        <v>0</v>
      </c>
      <c r="I559" s="108">
        <f t="shared" si="46"/>
        <v>0</v>
      </c>
      <c r="J559" s="108">
        <f t="shared" si="46"/>
        <v>0</v>
      </c>
      <c r="K559" s="108">
        <f t="shared" si="46"/>
        <v>0</v>
      </c>
      <c r="L559" s="89">
        <f t="shared" si="46"/>
        <v>447627.65286799998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f>27286.97</f>
        <v>27286.97</v>
      </c>
      <c r="G561" s="18">
        <f>F561*0.4263</f>
        <v>11632.435311000001</v>
      </c>
      <c r="H561" s="18"/>
      <c r="I561" s="18">
        <v>194.5</v>
      </c>
      <c r="J561" s="18"/>
      <c r="K561" s="18"/>
      <c r="L561" s="88">
        <f>SUM(F561:K561)</f>
        <v>39113.905311000002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f>5847.21</f>
        <v>5847.21</v>
      </c>
      <c r="G562" s="18">
        <f t="shared" ref="G562:G563" si="47">F562*0.4263</f>
        <v>2492.6656229999999</v>
      </c>
      <c r="H562" s="18"/>
      <c r="I562" s="18">
        <v>97.25</v>
      </c>
      <c r="J562" s="18"/>
      <c r="K562" s="18"/>
      <c r="L562" s="88">
        <f>SUM(F562:K562)</f>
        <v>8437.1256229999999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f>5847.21</f>
        <v>5847.21</v>
      </c>
      <c r="G563" s="18">
        <f t="shared" si="47"/>
        <v>2492.6656229999999</v>
      </c>
      <c r="H563" s="18"/>
      <c r="I563" s="18">
        <v>97.25</v>
      </c>
      <c r="J563" s="18"/>
      <c r="K563" s="18"/>
      <c r="L563" s="88">
        <f>SUM(F563:K563)</f>
        <v>8437.1256229999999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8">SUM(F561:F563)</f>
        <v>38981.39</v>
      </c>
      <c r="G564" s="89">
        <f t="shared" si="48"/>
        <v>16617.766557000003</v>
      </c>
      <c r="H564" s="89">
        <f t="shared" si="48"/>
        <v>0</v>
      </c>
      <c r="I564" s="89">
        <f t="shared" si="48"/>
        <v>389</v>
      </c>
      <c r="J564" s="89">
        <f t="shared" si="48"/>
        <v>0</v>
      </c>
      <c r="K564" s="89">
        <f t="shared" si="48"/>
        <v>0</v>
      </c>
      <c r="L564" s="89">
        <f t="shared" si="48"/>
        <v>55988.156557000002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>
        <f>6369.5+303641.75</f>
        <v>310011.25</v>
      </c>
      <c r="G566" s="18">
        <f>F566*0.4263</f>
        <v>132157.79587500001</v>
      </c>
      <c r="H566" s="18">
        <f>114.24+2500</f>
        <v>2614.2399999999998</v>
      </c>
      <c r="I566" s="18">
        <f>1586.43</f>
        <v>1586.43</v>
      </c>
      <c r="J566" s="18"/>
      <c r="K566" s="18">
        <f>1985</f>
        <v>1985</v>
      </c>
      <c r="L566" s="88">
        <f>SUM(F566:K566)</f>
        <v>448354.71587499999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>
        <f>6369.5+141285.26</f>
        <v>147654.76</v>
      </c>
      <c r="G567" s="18">
        <f>F567*0.4263</f>
        <v>62945.224188000007</v>
      </c>
      <c r="H567" s="18">
        <f>114.24+2500</f>
        <v>2614.2399999999998</v>
      </c>
      <c r="I567" s="18">
        <f>1586.43+9044.28</f>
        <v>10630.710000000001</v>
      </c>
      <c r="J567" s="18"/>
      <c r="K567" s="18">
        <f>1985</f>
        <v>1985</v>
      </c>
      <c r="L567" s="88">
        <f>SUM(F567:K567)</f>
        <v>225829.93418800001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457666.01</v>
      </c>
      <c r="G569" s="193">
        <f t="shared" ref="G569:L569" si="49">SUM(G566:G568)</f>
        <v>195103.02006300003</v>
      </c>
      <c r="H569" s="193">
        <f t="shared" si="49"/>
        <v>5228.4799999999996</v>
      </c>
      <c r="I569" s="193">
        <f t="shared" si="49"/>
        <v>12217.140000000001</v>
      </c>
      <c r="J569" s="193">
        <f t="shared" si="49"/>
        <v>0</v>
      </c>
      <c r="K569" s="193">
        <f t="shared" si="49"/>
        <v>3970</v>
      </c>
      <c r="L569" s="193">
        <f t="shared" si="49"/>
        <v>674184.65006300004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810485.76000000001</v>
      </c>
      <c r="G570" s="89">
        <f t="shared" ref="G570:L570" si="50">G559+G564+G569</f>
        <v>345510.07948800002</v>
      </c>
      <c r="H570" s="89">
        <f t="shared" si="50"/>
        <v>5228.4799999999996</v>
      </c>
      <c r="I570" s="89">
        <f t="shared" si="50"/>
        <v>12606.140000000001</v>
      </c>
      <c r="J570" s="89">
        <f t="shared" si="50"/>
        <v>0</v>
      </c>
      <c r="K570" s="89">
        <f t="shared" si="50"/>
        <v>3970</v>
      </c>
      <c r="L570" s="89">
        <f t="shared" si="50"/>
        <v>1177800.459488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51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51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51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51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51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51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f>131417.65+2750</f>
        <v>134167.65</v>
      </c>
      <c r="G581" s="18">
        <f>330060.62+12285</f>
        <v>342345.62</v>
      </c>
      <c r="H581" s="18">
        <f>948464.51+42063.52</f>
        <v>990528.03</v>
      </c>
      <c r="I581" s="87">
        <f t="shared" si="51"/>
        <v>1467041.3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51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62623.19</v>
      </c>
      <c r="I583" s="87">
        <f t="shared" si="51"/>
        <v>62623.19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51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51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51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832015.92</v>
      </c>
      <c r="I590" s="18">
        <v>624011.93999999994</v>
      </c>
      <c r="J590" s="18">
        <v>550579.14</v>
      </c>
      <c r="K590" s="104">
        <f t="shared" ref="K590:K596" si="52">SUM(H590:J590)</f>
        <v>2006607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706896.91</v>
      </c>
      <c r="I591" s="18">
        <v>94252.92</v>
      </c>
      <c r="J591" s="18">
        <v>141379.38</v>
      </c>
      <c r="K591" s="104">
        <f t="shared" si="52"/>
        <v>942529.21000000008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73432.800000000003</v>
      </c>
      <c r="K592" s="104">
        <f t="shared" si="52"/>
        <v>73432.800000000003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18036.080000000002</v>
      </c>
      <c r="J593" s="18">
        <v>72058.259999999995</v>
      </c>
      <c r="K593" s="104">
        <f t="shared" si="52"/>
        <v>90094.34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848</v>
      </c>
      <c r="I594" s="18">
        <v>1706.5</v>
      </c>
      <c r="J594" s="18">
        <v>10985.31</v>
      </c>
      <c r="K594" s="104">
        <f t="shared" si="52"/>
        <v>13539.81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52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52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1539760.83</v>
      </c>
      <c r="I597" s="108">
        <f>SUM(I590:I596)</f>
        <v>738007.44</v>
      </c>
      <c r="J597" s="108">
        <f>SUM(J590:J596)</f>
        <v>848434.89000000013</v>
      </c>
      <c r="K597" s="108">
        <f>SUM(K590:K596)</f>
        <v>3126203.1599999997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255242.48</v>
      </c>
      <c r="I603" s="18">
        <v>171287.74</v>
      </c>
      <c r="J603" s="18">
        <v>438639.66</v>
      </c>
      <c r="K603" s="104">
        <f>SUM(H603:J603)</f>
        <v>865169.87999999989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255242.48</v>
      </c>
      <c r="I604" s="108">
        <f>SUM(I601:I603)</f>
        <v>171287.74</v>
      </c>
      <c r="J604" s="108">
        <f>SUM(J601:J603)</f>
        <v>438639.66</v>
      </c>
      <c r="K604" s="108">
        <f>SUM(K601:K603)</f>
        <v>865169.87999999989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f>6420.19+9638.48</f>
        <v>16058.669999999998</v>
      </c>
      <c r="G610" s="18">
        <f>F610*0.4263</f>
        <v>6845.8110209999995</v>
      </c>
      <c r="H610" s="18"/>
      <c r="I610" s="18">
        <v>2335.38</v>
      </c>
      <c r="J610" s="18"/>
      <c r="K610" s="18"/>
      <c r="L610" s="88">
        <f>SUM(F610:K610)</f>
        <v>25239.861021000001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f>4800.75</f>
        <v>4800.75</v>
      </c>
      <c r="G611" s="18">
        <f t="shared" ref="G611:G612" si="53">F611*0.4263</f>
        <v>2046.5597250000001</v>
      </c>
      <c r="H611" s="18"/>
      <c r="I611" s="18"/>
      <c r="J611" s="18"/>
      <c r="K611" s="18"/>
      <c r="L611" s="88">
        <f>SUM(F611:K611)</f>
        <v>6847.3097250000001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f>18858.43</f>
        <v>18858.43</v>
      </c>
      <c r="G612" s="18">
        <f t="shared" si="53"/>
        <v>8039.3487090000008</v>
      </c>
      <c r="H612" s="18"/>
      <c r="I612" s="18">
        <v>502</v>
      </c>
      <c r="J612" s="18"/>
      <c r="K612" s="18"/>
      <c r="L612" s="88">
        <f>SUM(F612:K612)</f>
        <v>27399.778709000002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54">SUM(F610:F612)</f>
        <v>39717.85</v>
      </c>
      <c r="G613" s="108">
        <f t="shared" si="54"/>
        <v>16931.719455000002</v>
      </c>
      <c r="H613" s="108">
        <f t="shared" si="54"/>
        <v>0</v>
      </c>
      <c r="I613" s="108">
        <f t="shared" si="54"/>
        <v>2837.38</v>
      </c>
      <c r="J613" s="108">
        <f t="shared" si="54"/>
        <v>0</v>
      </c>
      <c r="K613" s="108">
        <f t="shared" si="54"/>
        <v>0</v>
      </c>
      <c r="L613" s="89">
        <f t="shared" si="54"/>
        <v>59486.949455000002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3324457.6100000003</v>
      </c>
      <c r="H616" s="109">
        <f>SUM(F51)</f>
        <v>3324457.6099999994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88796.29</v>
      </c>
      <c r="H617" s="109">
        <f>SUM(G51)</f>
        <v>88796.29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388057.28</v>
      </c>
      <c r="H618" s="109">
        <f>SUM(H51)</f>
        <v>388057.28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443639.06</v>
      </c>
      <c r="H620" s="109">
        <f>SUM(J51)</f>
        <v>443639.06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1213024.8899999999</v>
      </c>
      <c r="H621" s="109">
        <f>F475</f>
        <v>1213024.8899999931</v>
      </c>
      <c r="I621" s="121" t="s">
        <v>101</v>
      </c>
      <c r="J621" s="109">
        <f t="shared" ref="J621:J654" si="55">G621-H621</f>
        <v>6.7520886659622192E-9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27271.19</v>
      </c>
      <c r="H622" s="109">
        <f>G475</f>
        <v>27271.189999999944</v>
      </c>
      <c r="I622" s="121" t="s">
        <v>102</v>
      </c>
      <c r="J622" s="109">
        <f t="shared" si="55"/>
        <v>5.4569682106375694E-11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77293.14</v>
      </c>
      <c r="H623" s="109">
        <f>H475</f>
        <v>77293.139999999898</v>
      </c>
      <c r="I623" s="121" t="s">
        <v>103</v>
      </c>
      <c r="J623" s="109">
        <f t="shared" si="55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5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443639.06</v>
      </c>
      <c r="H625" s="109">
        <f>J475</f>
        <v>443639.06000000006</v>
      </c>
      <c r="I625" s="140" t="s">
        <v>105</v>
      </c>
      <c r="J625" s="109">
        <f t="shared" si="55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66249537.030000009</v>
      </c>
      <c r="H626" s="104">
        <f>SUM(F467)</f>
        <v>66249537.030000001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1356581</v>
      </c>
      <c r="H627" s="104">
        <f>SUM(G467)</f>
        <v>1356581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1496019</v>
      </c>
      <c r="H628" s="104">
        <f>SUM(H467)</f>
        <v>1496019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741545.87</v>
      </c>
      <c r="H630" s="104">
        <f>SUM(J467)</f>
        <v>741545.87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66096957.350000009</v>
      </c>
      <c r="H631" s="104">
        <f>SUM(F471)</f>
        <v>66096957.350000001</v>
      </c>
      <c r="I631" s="140" t="s">
        <v>111</v>
      </c>
      <c r="J631" s="109">
        <f t="shared" si="55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1495693.52</v>
      </c>
      <c r="H632" s="104">
        <f>SUM(H471)</f>
        <v>1495693.52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751585.48</v>
      </c>
      <c r="H633" s="104">
        <f>I368</f>
        <v>751585.48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1357916.9500000002</v>
      </c>
      <c r="H634" s="104">
        <f>SUM(G471)</f>
        <v>1357916.95</v>
      </c>
      <c r="I634" s="140" t="s">
        <v>114</v>
      </c>
      <c r="J634" s="109">
        <f t="shared" si="55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5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741545.86999999988</v>
      </c>
      <c r="H636" s="164">
        <f>SUM(J467)</f>
        <v>741545.87</v>
      </c>
      <c r="I636" s="165" t="s">
        <v>110</v>
      </c>
      <c r="J636" s="151">
        <f t="shared" si="55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532337.09</v>
      </c>
      <c r="H637" s="164">
        <f>SUM(J471)</f>
        <v>532337.09</v>
      </c>
      <c r="I637" s="165" t="s">
        <v>117</v>
      </c>
      <c r="J637" s="151">
        <f t="shared" si="55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30805.15</v>
      </c>
      <c r="H638" s="104">
        <f>SUM(F460)</f>
        <v>30805.15</v>
      </c>
      <c r="I638" s="140" t="s">
        <v>857</v>
      </c>
      <c r="J638" s="109">
        <f t="shared" si="55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412833.91</v>
      </c>
      <c r="H639" s="104">
        <f>SUM(G460)</f>
        <v>412833.91</v>
      </c>
      <c r="I639" s="140" t="s">
        <v>858</v>
      </c>
      <c r="J639" s="109">
        <f t="shared" si="55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5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443639.06</v>
      </c>
      <c r="H641" s="104">
        <f>SUM(I460)</f>
        <v>443639.06</v>
      </c>
      <c r="I641" s="140" t="s">
        <v>860</v>
      </c>
      <c r="J641" s="109">
        <f t="shared" si="55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5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243.87</v>
      </c>
      <c r="H643" s="104">
        <f>H407</f>
        <v>243.87</v>
      </c>
      <c r="I643" s="140" t="s">
        <v>481</v>
      </c>
      <c r="J643" s="109">
        <f t="shared" si="55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650000</v>
      </c>
      <c r="H644" s="104">
        <f>G407</f>
        <v>650000</v>
      </c>
      <c r="I644" s="140" t="s">
        <v>482</v>
      </c>
      <c r="J644" s="109">
        <f t="shared" si="55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741545.87</v>
      </c>
      <c r="H645" s="104">
        <f>L407</f>
        <v>741545.86999999988</v>
      </c>
      <c r="I645" s="140" t="s">
        <v>478</v>
      </c>
      <c r="J645" s="109">
        <f t="shared" si="55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3126203.1599999997</v>
      </c>
      <c r="H646" s="104">
        <f>L207+L225+L243</f>
        <v>3126203.16</v>
      </c>
      <c r="I646" s="140" t="s">
        <v>397</v>
      </c>
      <c r="J646" s="109">
        <f t="shared" si="55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865169.87999999989</v>
      </c>
      <c r="H647" s="104">
        <f>(J256+J337)-(J254+J335)</f>
        <v>865169.88</v>
      </c>
      <c r="I647" s="140" t="s">
        <v>703</v>
      </c>
      <c r="J647" s="109">
        <f t="shared" si="55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1539760.83</v>
      </c>
      <c r="H648" s="104">
        <f>H597</f>
        <v>1539760.83</v>
      </c>
      <c r="I648" s="140" t="s">
        <v>389</v>
      </c>
      <c r="J648" s="109">
        <f t="shared" si="55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738007.44</v>
      </c>
      <c r="H649" s="104">
        <f>I597</f>
        <v>738007.44</v>
      </c>
      <c r="I649" s="140" t="s">
        <v>390</v>
      </c>
      <c r="J649" s="109">
        <f t="shared" si="55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848434.8899999999</v>
      </c>
      <c r="H650" s="104">
        <f>J597</f>
        <v>848434.89000000013</v>
      </c>
      <c r="I650" s="140" t="s">
        <v>391</v>
      </c>
      <c r="J650" s="109">
        <f t="shared" si="55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17255.689999999999</v>
      </c>
      <c r="H651" s="104">
        <f>K262+K344</f>
        <v>17255.689999999999</v>
      </c>
      <c r="I651" s="140" t="s">
        <v>398</v>
      </c>
      <c r="J651" s="109">
        <f t="shared" si="55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5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5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650000</v>
      </c>
      <c r="H654" s="104">
        <f>K265+K346</f>
        <v>650000</v>
      </c>
      <c r="I654" s="140" t="s">
        <v>401</v>
      </c>
      <c r="J654" s="109">
        <f t="shared" si="55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27495471.119999997</v>
      </c>
      <c r="G659" s="19">
        <f>(L228+L308+L358)</f>
        <v>14825256.550000001</v>
      </c>
      <c r="H659" s="19">
        <f>(L246+L327+L359)</f>
        <v>23018668.370000005</v>
      </c>
      <c r="I659" s="19">
        <f>SUM(F659:H659)</f>
        <v>65339396.040000007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412984.09977153852</v>
      </c>
      <c r="G660" s="19">
        <f>(L358/IF(SUM(L357:L359)=0,1,SUM(L357:L359))*(SUM(G96:G109)))</f>
        <v>267614.87568011461</v>
      </c>
      <c r="H660" s="19">
        <f>(L359/IF(SUM(L357:L359)=0,1,SUM(L357:L359))*(SUM(G96:G109)))</f>
        <v>326992.35454834672</v>
      </c>
      <c r="I660" s="19">
        <f>SUM(F660:H660)</f>
        <v>1007591.3299999998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1539760.83</v>
      </c>
      <c r="G661" s="19">
        <f>(L225+L305)-(J225+J305)</f>
        <v>738007.44</v>
      </c>
      <c r="H661" s="19">
        <f>(L243+L324)-(J243+J324)</f>
        <v>848434.8899999999</v>
      </c>
      <c r="I661" s="19">
        <f>SUM(F661:H661)</f>
        <v>3126203.16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414649.99102100002</v>
      </c>
      <c r="G662" s="199">
        <f>SUM(G574:G586)+SUM(I601:I603)+L611</f>
        <v>520480.66972499999</v>
      </c>
      <c r="H662" s="199">
        <f>SUM(H574:H586)+SUM(J601:J603)+L612</f>
        <v>1519190.6587089999</v>
      </c>
      <c r="I662" s="19">
        <f>SUM(F662:H662)</f>
        <v>2454321.3194549996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25128076.199207459</v>
      </c>
      <c r="G663" s="19">
        <f>G659-SUM(G660:G662)</f>
        <v>13299153.564594887</v>
      </c>
      <c r="H663" s="19">
        <f>H659-SUM(H660:H662)</f>
        <v>20324050.466742657</v>
      </c>
      <c r="I663" s="19">
        <f>I659-SUM(I660:I662)</f>
        <v>58751280.230545007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f>35.2+116.19+1549.82</f>
        <v>1701.21</v>
      </c>
      <c r="G664" s="248">
        <v>1089.8800000000001</v>
      </c>
      <c r="H664" s="248">
        <v>1645.44</v>
      </c>
      <c r="I664" s="19">
        <f>SUM(F664:H664)</f>
        <v>4436.5300000000007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14770.71</v>
      </c>
      <c r="G666" s="19">
        <f>ROUND(G663/G664,2)</f>
        <v>12202.4</v>
      </c>
      <c r="H666" s="19">
        <f>ROUND(H663/H664,2)</f>
        <v>12351.74</v>
      </c>
      <c r="I666" s="19">
        <f>ROUND(I663/I664,2)</f>
        <v>13242.62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-50.7</v>
      </c>
      <c r="I669" s="19">
        <f>SUM(F669:H669)</f>
        <v>-50.7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14770.71</v>
      </c>
      <c r="G671" s="19">
        <f>ROUND((G663+G668)/(G664+G669),2)</f>
        <v>12202.4</v>
      </c>
      <c r="H671" s="19">
        <f>ROUND((H663+H668)/(H664+H669),2)</f>
        <v>12744.43</v>
      </c>
      <c r="I671" s="19">
        <f>ROUND((I663+I668)/(I664+I669),2)</f>
        <v>13395.7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7" workbookViewId="0">
      <selection activeCell="C21" sqref="C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LONDONDERRY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18088763.810000002</v>
      </c>
      <c r="C9" s="229">
        <f>'DOE25'!G196+'DOE25'!G214+'DOE25'!G232+'DOE25'!G275+'DOE25'!G294+'DOE25'!G313</f>
        <v>7710105.2200000007</v>
      </c>
    </row>
    <row r="10" spans="1:3" x14ac:dyDescent="0.2">
      <c r="A10" t="s">
        <v>779</v>
      </c>
      <c r="B10" s="240">
        <v>17123032.690000001</v>
      </c>
      <c r="C10" s="240">
        <v>7600148.2000000002</v>
      </c>
    </row>
    <row r="11" spans="1:3" x14ac:dyDescent="0.2">
      <c r="A11" t="s">
        <v>780</v>
      </c>
      <c r="B11" s="240">
        <v>509880.57</v>
      </c>
      <c r="C11" s="240">
        <v>57906.45</v>
      </c>
    </row>
    <row r="12" spans="1:3" x14ac:dyDescent="0.2">
      <c r="A12" t="s">
        <v>781</v>
      </c>
      <c r="B12" s="240">
        <v>455850.55</v>
      </c>
      <c r="C12" s="240">
        <v>52050.57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18088763.810000002</v>
      </c>
      <c r="C13" s="231">
        <f>SUM(C10:C12)</f>
        <v>7710105.2200000007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8125266.7399999993</v>
      </c>
      <c r="C18" s="229">
        <f>'DOE25'!G197+'DOE25'!G215+'DOE25'!G233+'DOE25'!G276+'DOE25'!G295+'DOE25'!G314</f>
        <v>3370115.62</v>
      </c>
    </row>
    <row r="19" spans="1:3" x14ac:dyDescent="0.2">
      <c r="A19" t="s">
        <v>779</v>
      </c>
      <c r="B19" s="240">
        <v>5306388.17</v>
      </c>
      <c r="C19" s="240">
        <v>2334810.79</v>
      </c>
    </row>
    <row r="20" spans="1:3" x14ac:dyDescent="0.2">
      <c r="A20" t="s">
        <v>780</v>
      </c>
      <c r="B20" s="240">
        <v>2326694.15</v>
      </c>
      <c r="C20" s="240">
        <v>868111.63</v>
      </c>
    </row>
    <row r="21" spans="1:3" x14ac:dyDescent="0.2">
      <c r="A21" t="s">
        <v>781</v>
      </c>
      <c r="B21" s="240">
        <v>492184.42</v>
      </c>
      <c r="C21" s="240">
        <v>167193.20000000001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8125266.7400000002</v>
      </c>
      <c r="C22" s="231">
        <f>SUM(C19:C21)</f>
        <v>3370115.62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819799.75</v>
      </c>
      <c r="C36" s="235">
        <f>'DOE25'!G199+'DOE25'!G217+'DOE25'!G235+'DOE25'!G278+'DOE25'!G297+'DOE25'!G316</f>
        <v>343250.91000000003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819799.75</v>
      </c>
      <c r="C39" s="240">
        <v>343250.91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819799.75</v>
      </c>
      <c r="C40" s="231">
        <f>SUM(C37:C39)</f>
        <v>343250.91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26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LONDONDERRY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39952339.359999999</v>
      </c>
      <c r="D5" s="20">
        <f>SUM('DOE25'!L196:L199)+SUM('DOE25'!L214:L217)+SUM('DOE25'!L232:L235)-F5-G5</f>
        <v>39762532.109999999</v>
      </c>
      <c r="E5" s="243"/>
      <c r="F5" s="255">
        <f>SUM('DOE25'!J196:J199)+SUM('DOE25'!J214:J217)+SUM('DOE25'!J232:J235)</f>
        <v>145917.53999999998</v>
      </c>
      <c r="G5" s="53">
        <f>SUM('DOE25'!K196:K199)+SUM('DOE25'!K214:K217)+SUM('DOE25'!K232:K235)</f>
        <v>43889.71</v>
      </c>
      <c r="H5" s="259"/>
    </row>
    <row r="6" spans="1:9" x14ac:dyDescent="0.2">
      <c r="A6" s="32">
        <v>2100</v>
      </c>
      <c r="B6" t="s">
        <v>801</v>
      </c>
      <c r="C6" s="245">
        <f t="shared" si="0"/>
        <v>5464857.0499999998</v>
      </c>
      <c r="D6" s="20">
        <f>'DOE25'!L201+'DOE25'!L219+'DOE25'!L237-F6-G6</f>
        <v>5461311.9699999997</v>
      </c>
      <c r="E6" s="243"/>
      <c r="F6" s="255">
        <f>'DOE25'!J201+'DOE25'!J219+'DOE25'!J237</f>
        <v>0</v>
      </c>
      <c r="G6" s="53">
        <f>'DOE25'!K201+'DOE25'!K219+'DOE25'!K237</f>
        <v>3545.08</v>
      </c>
      <c r="H6" s="259"/>
    </row>
    <row r="7" spans="1:9" x14ac:dyDescent="0.2">
      <c r="A7" s="32">
        <v>2200</v>
      </c>
      <c r="B7" t="s">
        <v>834</v>
      </c>
      <c r="C7" s="245">
        <f t="shared" si="0"/>
        <v>1994665.96</v>
      </c>
      <c r="D7" s="20">
        <f>'DOE25'!L202+'DOE25'!L220+'DOE25'!L238-F7-G7</f>
        <v>1910668.69</v>
      </c>
      <c r="E7" s="243"/>
      <c r="F7" s="255">
        <f>'DOE25'!J202+'DOE25'!J220+'DOE25'!J238</f>
        <v>81544.26999999999</v>
      </c>
      <c r="G7" s="53">
        <f>'DOE25'!K202+'DOE25'!K220+'DOE25'!K238</f>
        <v>2453</v>
      </c>
      <c r="H7" s="259"/>
    </row>
    <row r="8" spans="1:9" x14ac:dyDescent="0.2">
      <c r="A8" s="32">
        <v>2300</v>
      </c>
      <c r="B8" t="s">
        <v>802</v>
      </c>
      <c r="C8" s="245">
        <f t="shared" si="0"/>
        <v>283260.33999999997</v>
      </c>
      <c r="D8" s="243"/>
      <c r="E8" s="20">
        <f>'DOE25'!L203+'DOE25'!L221+'DOE25'!L239-F8-G8-D9-D11</f>
        <v>231629.11</v>
      </c>
      <c r="F8" s="255">
        <f>'DOE25'!J203+'DOE25'!J221+'DOE25'!J239</f>
        <v>33790.6</v>
      </c>
      <c r="G8" s="53">
        <f>'DOE25'!K203+'DOE25'!K221+'DOE25'!K239</f>
        <v>17840.63</v>
      </c>
      <c r="H8" s="259"/>
    </row>
    <row r="9" spans="1:9" x14ac:dyDescent="0.2">
      <c r="A9" s="32">
        <v>2310</v>
      </c>
      <c r="B9" t="s">
        <v>818</v>
      </c>
      <c r="C9" s="245">
        <f t="shared" si="0"/>
        <v>35314.42</v>
      </c>
      <c r="D9" s="244">
        <v>35314.42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18650</v>
      </c>
      <c r="D10" s="243"/>
      <c r="E10" s="244">
        <v>18650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589297.79</v>
      </c>
      <c r="D11" s="244">
        <v>589297.79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2986991.8</v>
      </c>
      <c r="D12" s="20">
        <f>'DOE25'!L204+'DOE25'!L222+'DOE25'!L240-F12-G12</f>
        <v>2974673.8</v>
      </c>
      <c r="E12" s="243"/>
      <c r="F12" s="255">
        <f>'DOE25'!J204+'DOE25'!J222+'DOE25'!J240</f>
        <v>0</v>
      </c>
      <c r="G12" s="53">
        <f>'DOE25'!K204+'DOE25'!K222+'DOE25'!K240</f>
        <v>12318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762462.05</v>
      </c>
      <c r="D13" s="243"/>
      <c r="E13" s="20">
        <f>'DOE25'!L205+'DOE25'!L223+'DOE25'!L241-F13-G13</f>
        <v>762462.05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6179177.9399999995</v>
      </c>
      <c r="D14" s="20">
        <f>'DOE25'!L206+'DOE25'!L224+'DOE25'!L242-F14-G14</f>
        <v>5902887.3799999999</v>
      </c>
      <c r="E14" s="243"/>
      <c r="F14" s="255">
        <f>'DOE25'!J206+'DOE25'!J224+'DOE25'!J242</f>
        <v>275955.56</v>
      </c>
      <c r="G14" s="53">
        <f>'DOE25'!K206+'DOE25'!K224+'DOE25'!K242</f>
        <v>335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3126203.16</v>
      </c>
      <c r="D15" s="20">
        <f>'DOE25'!L207+'DOE25'!L225+'DOE25'!L243-F15-G15</f>
        <v>3126203.16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1186201.7</v>
      </c>
      <c r="D16" s="243"/>
      <c r="E16" s="20">
        <f>'DOE25'!L208+'DOE25'!L226+'DOE25'!L244-F16-G16</f>
        <v>886923.69</v>
      </c>
      <c r="F16" s="255">
        <f>'DOE25'!J208+'DOE25'!J226+'DOE25'!J244</f>
        <v>299278.01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60170.920000000006</v>
      </c>
      <c r="D17" s="20">
        <f>'DOE25'!L250-F17-G17</f>
        <v>60170.920000000006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2808759.17</v>
      </c>
      <c r="D25" s="243"/>
      <c r="E25" s="243"/>
      <c r="F25" s="258"/>
      <c r="G25" s="256"/>
      <c r="H25" s="257">
        <f>'DOE25'!L259+'DOE25'!L260+'DOE25'!L340+'DOE25'!L341</f>
        <v>2808759.17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674853.13000000024</v>
      </c>
      <c r="D29" s="20">
        <f>'DOE25'!L357+'DOE25'!L358+'DOE25'!L359-'DOE25'!I366-F29-G29</f>
        <v>654489.99000000022</v>
      </c>
      <c r="E29" s="243"/>
      <c r="F29" s="255">
        <f>'DOE25'!J357+'DOE25'!J358+'DOE25'!J359</f>
        <v>2115.89</v>
      </c>
      <c r="G29" s="53">
        <f>'DOE25'!K357+'DOE25'!K358+'DOE25'!K359</f>
        <v>18247.25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1479348.52</v>
      </c>
      <c r="D31" s="20">
        <f>'DOE25'!L289+'DOE25'!L308+'DOE25'!L327+'DOE25'!L332+'DOE25'!L333+'DOE25'!L334-F31-G31</f>
        <v>1450664.62</v>
      </c>
      <c r="E31" s="243"/>
      <c r="F31" s="255">
        <f>'DOE25'!J289+'DOE25'!J308+'DOE25'!J327+'DOE25'!J332+'DOE25'!J333+'DOE25'!J334</f>
        <v>28683.9</v>
      </c>
      <c r="G31" s="53">
        <f>'DOE25'!K289+'DOE25'!K308+'DOE25'!K327+'DOE25'!K332+'DOE25'!K333+'DOE25'!K334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61928214.849999994</v>
      </c>
      <c r="E33" s="246">
        <f>SUM(E5:E31)</f>
        <v>1899664.85</v>
      </c>
      <c r="F33" s="246">
        <f>SUM(F5:F31)</f>
        <v>867285.77</v>
      </c>
      <c r="G33" s="246">
        <f>SUM(G5:G31)</f>
        <v>98628.67</v>
      </c>
      <c r="H33" s="246">
        <f>SUM(H5:H31)</f>
        <v>2808759.17</v>
      </c>
    </row>
    <row r="35" spans="2:8" ht="12" thickBot="1" x14ac:dyDescent="0.25">
      <c r="B35" s="253" t="s">
        <v>847</v>
      </c>
      <c r="D35" s="254">
        <f>E33</f>
        <v>1899664.85</v>
      </c>
      <c r="E35" s="249"/>
    </row>
    <row r="36" spans="2:8" ht="12" thickTop="1" x14ac:dyDescent="0.2">
      <c r="B36" t="s">
        <v>815</v>
      </c>
      <c r="D36" s="20">
        <f>D33</f>
        <v>61928214.849999994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LONDONDERRY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3026306.04</v>
      </c>
      <c r="D8" s="95">
        <f>'DOE25'!G9</f>
        <v>5600</v>
      </c>
      <c r="E8" s="95">
        <f>'DOE25'!H9</f>
        <v>0</v>
      </c>
      <c r="F8" s="95">
        <f>'DOE25'!I9</f>
        <v>0</v>
      </c>
      <c r="G8" s="95">
        <f>'DOE25'!J9</f>
        <v>443639.06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276488.64</v>
      </c>
      <c r="D11" s="95">
        <f>'DOE25'!G12</f>
        <v>20217.75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20255.25</v>
      </c>
      <c r="E12" s="95">
        <f>'DOE25'!H13</f>
        <v>388057.28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19482</v>
      </c>
      <c r="D13" s="95">
        <f>'DOE25'!G14</f>
        <v>21014.31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21708.98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2180.9299999999998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3324457.6100000003</v>
      </c>
      <c r="D18" s="41">
        <f>SUM(D8:D17)</f>
        <v>88796.29</v>
      </c>
      <c r="E18" s="41">
        <f>SUM(E8:E17)</f>
        <v>388057.28</v>
      </c>
      <c r="F18" s="41">
        <f>SUM(F8:F17)</f>
        <v>0</v>
      </c>
      <c r="G18" s="41">
        <f>SUM(G8:G17)</f>
        <v>443639.06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296706.39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1335789.05</v>
      </c>
      <c r="D23" s="95">
        <f>'DOE25'!G24</f>
        <v>41902.85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535395.82999999996</v>
      </c>
      <c r="D27" s="95">
        <f>'DOE25'!G28</f>
        <v>19622.25</v>
      </c>
      <c r="E27" s="95">
        <f>'DOE25'!H28</f>
        <v>14057.75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240247.84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2111432.7199999997</v>
      </c>
      <c r="D31" s="41">
        <f>SUM(D21:D30)</f>
        <v>61525.1</v>
      </c>
      <c r="E31" s="41">
        <f>SUM(E21:E30)</f>
        <v>310764.14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21708.98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2180.9299999999998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77293.14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11780.86</v>
      </c>
      <c r="D46" s="95">
        <f>'DOE25'!G47</f>
        <v>5562.21</v>
      </c>
      <c r="E46" s="95">
        <f>'DOE25'!H47</f>
        <v>0</v>
      </c>
      <c r="F46" s="95">
        <f>'DOE25'!I47</f>
        <v>0</v>
      </c>
      <c r="G46" s="95">
        <f>'DOE25'!J47</f>
        <v>443639.06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186900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912163.1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1213024.8899999999</v>
      </c>
      <c r="D49" s="41">
        <f>SUM(D34:D48)</f>
        <v>27271.19</v>
      </c>
      <c r="E49" s="41">
        <f>SUM(E34:E48)</f>
        <v>77293.14</v>
      </c>
      <c r="F49" s="41">
        <f>SUM(F34:F48)</f>
        <v>0</v>
      </c>
      <c r="G49" s="41">
        <f>SUM(G34:G48)</f>
        <v>443639.06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3324457.6099999994</v>
      </c>
      <c r="D50" s="41">
        <f>D49+D31</f>
        <v>88796.29</v>
      </c>
      <c r="E50" s="41">
        <f>E49+E31</f>
        <v>388057.28</v>
      </c>
      <c r="F50" s="41">
        <f>F49+F31</f>
        <v>0</v>
      </c>
      <c r="G50" s="41">
        <f>G49+G31</f>
        <v>443639.06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42553516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184020.6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2530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0</v>
      </c>
      <c r="D58" s="95">
        <f>'DOE25'!G95</f>
        <v>20.29</v>
      </c>
      <c r="E58" s="95">
        <f>'DOE25'!H95</f>
        <v>0</v>
      </c>
      <c r="F58" s="95">
        <f>'DOE25'!I95</f>
        <v>0</v>
      </c>
      <c r="G58" s="95">
        <f>'DOE25'!J95</f>
        <v>243.87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972491.73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65045.919999999998</v>
      </c>
      <c r="D60" s="95">
        <f>SUM('DOE25'!G97:G109)</f>
        <v>35099.599999999999</v>
      </c>
      <c r="E60" s="95">
        <f>SUM('DOE25'!H97:H109)</f>
        <v>6004.57</v>
      </c>
      <c r="F60" s="95">
        <f>SUM('DOE25'!I97:I109)</f>
        <v>0</v>
      </c>
      <c r="G60" s="95">
        <f>SUM('DOE25'!J97:J109)</f>
        <v>91302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251596.52000000002</v>
      </c>
      <c r="D61" s="130">
        <f>SUM(D56:D60)</f>
        <v>1007611.62</v>
      </c>
      <c r="E61" s="130">
        <f>SUM(E56:E60)</f>
        <v>6004.57</v>
      </c>
      <c r="F61" s="130">
        <f>SUM(F56:F60)</f>
        <v>0</v>
      </c>
      <c r="G61" s="130">
        <f>SUM(G56:G60)</f>
        <v>91545.87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42805112.520000003</v>
      </c>
      <c r="D62" s="22">
        <f>D55+D61</f>
        <v>1007611.62</v>
      </c>
      <c r="E62" s="22">
        <f>E55+E61</f>
        <v>6004.57</v>
      </c>
      <c r="F62" s="22">
        <f>F55+F61</f>
        <v>0</v>
      </c>
      <c r="G62" s="22">
        <f>G55+G61</f>
        <v>91545.87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14646530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6581137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21227667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539694.51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445953.73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33448.28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1364.87</v>
      </c>
      <c r="D76" s="95">
        <f>SUM('DOE25'!G130:G134)</f>
        <v>17838.349999999999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1020461.39</v>
      </c>
      <c r="D77" s="130">
        <f>SUM(D71:D76)</f>
        <v>17838.349999999999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22248128.390000001</v>
      </c>
      <c r="D80" s="130">
        <f>SUM(D78:D79)+D77+D69</f>
        <v>17838.349999999999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227074.03</v>
      </c>
      <c r="D87" s="95">
        <f>SUM('DOE25'!G152:G160)</f>
        <v>313875.33999999997</v>
      </c>
      <c r="E87" s="95">
        <f>SUM('DOE25'!H152:H160)</f>
        <v>1490014.43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227074.03</v>
      </c>
      <c r="D90" s="131">
        <f>SUM(D84:D89)</f>
        <v>313875.33999999997</v>
      </c>
      <c r="E90" s="131">
        <f>SUM(E84:E89)</f>
        <v>1490014.43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17255.689999999999</v>
      </c>
      <c r="E95" s="95">
        <f>'DOE25'!H178</f>
        <v>0</v>
      </c>
      <c r="F95" s="95">
        <f>'DOE25'!I178</f>
        <v>0</v>
      </c>
      <c r="G95" s="95">
        <f>'DOE25'!J178</f>
        <v>650000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532337.09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436885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969222.09</v>
      </c>
      <c r="D102" s="86">
        <f>SUM(D92:D101)</f>
        <v>17255.689999999999</v>
      </c>
      <c r="E102" s="86">
        <f>SUM(E92:E101)</f>
        <v>0</v>
      </c>
      <c r="F102" s="86">
        <f>SUM(F92:F101)</f>
        <v>0</v>
      </c>
      <c r="G102" s="86">
        <f>SUM(G92:G101)</f>
        <v>650000</v>
      </c>
    </row>
    <row r="103" spans="1:7" ht="12.75" thickTop="1" thickBot="1" x14ac:dyDescent="0.25">
      <c r="A103" s="33" t="s">
        <v>765</v>
      </c>
      <c r="C103" s="86">
        <f>C62+C80+C90+C102</f>
        <v>66249537.030000009</v>
      </c>
      <c r="D103" s="86">
        <f>D62+D80+D90+D102</f>
        <v>1356581</v>
      </c>
      <c r="E103" s="86">
        <f>E62+E80+E90+E102</f>
        <v>1496019</v>
      </c>
      <c r="F103" s="86">
        <f>F62+F80+F90+F102</f>
        <v>0</v>
      </c>
      <c r="G103" s="86">
        <f>G62+G80+G102</f>
        <v>741545.87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26359379.490000002</v>
      </c>
      <c r="D108" s="24" t="s">
        <v>289</v>
      </c>
      <c r="E108" s="95">
        <f>('DOE25'!L275)+('DOE25'!L294)+('DOE25'!L313)</f>
        <v>145796.75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12062544.890000001</v>
      </c>
      <c r="D109" s="24" t="s">
        <v>289</v>
      </c>
      <c r="E109" s="95">
        <f>('DOE25'!L276)+('DOE25'!L295)+('DOE25'!L314)</f>
        <v>1056882.55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62623.19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1467791.79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16345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60170.920000000006</v>
      </c>
      <c r="D113" s="24" t="s">
        <v>289</v>
      </c>
      <c r="E113" s="95">
        <f>+ SUM('DOE25'!L332:L334)</f>
        <v>58641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40012510.280000001</v>
      </c>
      <c r="D114" s="86">
        <f>SUM(D108:D113)</f>
        <v>0</v>
      </c>
      <c r="E114" s="86">
        <f>SUM(E108:E113)</f>
        <v>1277665.3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5464857.0499999998</v>
      </c>
      <c r="D117" s="24" t="s">
        <v>289</v>
      </c>
      <c r="E117" s="95">
        <f>+('DOE25'!L280)+('DOE25'!L299)+('DOE25'!L318)</f>
        <v>188593.63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1994665.96</v>
      </c>
      <c r="D118" s="24" t="s">
        <v>289</v>
      </c>
      <c r="E118" s="95">
        <f>+('DOE25'!L281)+('DOE25'!L300)+('DOE25'!L319)</f>
        <v>29434.59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907872.55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2986991.8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762462.05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6179177.9399999995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3126203.16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1186201.7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1357916.9500000002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22608432.210000001</v>
      </c>
      <c r="D127" s="86">
        <f>SUM(D117:D126)</f>
        <v>1357916.9500000002</v>
      </c>
      <c r="E127" s="86">
        <f>SUM(E117:E126)</f>
        <v>218028.22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1715000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1093759.17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532337.09</v>
      </c>
    </row>
    <row r="134" spans="1:7" x14ac:dyDescent="0.2">
      <c r="A134" t="s">
        <v>233</v>
      </c>
      <c r="B134" s="32" t="s">
        <v>234</v>
      </c>
      <c r="C134" s="95">
        <f>'DOE25'!L262</f>
        <v>17255.689999999999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8.8800000000000008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741536.98999999987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-91545.869999999879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3476014.8599999994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532337.09</v>
      </c>
    </row>
    <row r="144" spans="1:7" ht="12.75" thickTop="1" thickBot="1" x14ac:dyDescent="0.25">
      <c r="A144" s="33" t="s">
        <v>244</v>
      </c>
      <c r="C144" s="86">
        <f>(C114+C127+C143)</f>
        <v>66096957.350000001</v>
      </c>
      <c r="D144" s="86">
        <f>(D114+D127+D143)</f>
        <v>1357916.9500000002</v>
      </c>
      <c r="E144" s="86">
        <f>(E114+E127+E143)</f>
        <v>1495693.52</v>
      </c>
      <c r="F144" s="86">
        <f>(F114+F127+F143)</f>
        <v>0</v>
      </c>
      <c r="G144" s="86">
        <f>(G114+G127+G143)</f>
        <v>532337.09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13</v>
      </c>
      <c r="D150" s="153">
        <f>'DOE25'!H489</f>
        <v>20</v>
      </c>
      <c r="E150" s="153">
        <f>'DOE25'!I489</f>
        <v>20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04/02</v>
      </c>
      <c r="C151" s="152" t="str">
        <f>'DOE25'!G490</f>
        <v>02/04</v>
      </c>
      <c r="D151" s="152" t="str">
        <f>'DOE25'!H490</f>
        <v>06/05</v>
      </c>
      <c r="E151" s="152" t="str">
        <f>'DOE25'!I490</f>
        <v>07/08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07/22</v>
      </c>
      <c r="C152" s="152" t="str">
        <f>'DOE25'!G491</f>
        <v>08/16</v>
      </c>
      <c r="D152" s="152" t="str">
        <f>'DOE25'!H491</f>
        <v>08/25</v>
      </c>
      <c r="E152" s="152" t="str">
        <f>'DOE25'!I491</f>
        <v>07/28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12030000</v>
      </c>
      <c r="C153" s="137">
        <f>'DOE25'!G492</f>
        <v>6935000</v>
      </c>
      <c r="D153" s="137">
        <f>'DOE25'!H492</f>
        <v>5500000</v>
      </c>
      <c r="E153" s="137">
        <f>'DOE25'!I492</f>
        <v>5100000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4.57</v>
      </c>
      <c r="C154" s="137">
        <f>'DOE25'!G493</f>
        <v>3.25</v>
      </c>
      <c r="D154" s="137">
        <f>'DOE25'!H493</f>
        <v>3.9</v>
      </c>
      <c r="E154" s="137">
        <f>'DOE25'!I493</f>
        <v>4.09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7340000</v>
      </c>
      <c r="C155" s="137">
        <f>'DOE25'!G494</f>
        <v>2495000</v>
      </c>
      <c r="D155" s="137">
        <f>'DOE25'!H494</f>
        <v>3850000</v>
      </c>
      <c r="E155" s="137">
        <f>'DOE25'!I494</f>
        <v>4335000</v>
      </c>
      <c r="F155" s="137">
        <f>'DOE25'!J494</f>
        <v>0</v>
      </c>
      <c r="G155" s="138">
        <f>SUM(B155:F155)</f>
        <v>18020000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670000</v>
      </c>
      <c r="C157" s="137">
        <f>'DOE25'!G496</f>
        <v>515000</v>
      </c>
      <c r="D157" s="137">
        <f>'DOE25'!H496</f>
        <v>275000</v>
      </c>
      <c r="E157" s="137">
        <f>'DOE25'!I496</f>
        <v>255000</v>
      </c>
      <c r="F157" s="137">
        <f>'DOE25'!J496</f>
        <v>0</v>
      </c>
      <c r="G157" s="138">
        <f t="shared" si="0"/>
        <v>1715000</v>
      </c>
    </row>
    <row r="158" spans="1:9" x14ac:dyDescent="0.2">
      <c r="A158" s="22" t="s">
        <v>35</v>
      </c>
      <c r="B158" s="137">
        <f>'DOE25'!F497</f>
        <v>6670000</v>
      </c>
      <c r="C158" s="137">
        <f>'DOE25'!G497</f>
        <v>1980000</v>
      </c>
      <c r="D158" s="137">
        <f>'DOE25'!H497</f>
        <v>3575000</v>
      </c>
      <c r="E158" s="137">
        <f>'DOE25'!I497</f>
        <v>4080000</v>
      </c>
      <c r="F158" s="137">
        <f>'DOE25'!J497</f>
        <v>0</v>
      </c>
      <c r="G158" s="138">
        <f t="shared" si="0"/>
        <v>16305000</v>
      </c>
    </row>
    <row r="159" spans="1:9" x14ac:dyDescent="0.2">
      <c r="A159" s="22" t="s">
        <v>36</v>
      </c>
      <c r="B159" s="137">
        <f>'DOE25'!F498</f>
        <v>1611023.75</v>
      </c>
      <c r="C159" s="137">
        <f>'DOE25'!G498</f>
        <v>157000</v>
      </c>
      <c r="D159" s="137">
        <f>'DOE25'!H498</f>
        <v>934175</v>
      </c>
      <c r="E159" s="137">
        <f>'DOE25'!I498</f>
        <v>1340184.4099999999</v>
      </c>
      <c r="F159" s="137">
        <f>'DOE25'!J498</f>
        <v>0</v>
      </c>
      <c r="G159" s="138">
        <f t="shared" si="0"/>
        <v>4042383.16</v>
      </c>
    </row>
    <row r="160" spans="1:9" x14ac:dyDescent="0.2">
      <c r="A160" s="22" t="s">
        <v>37</v>
      </c>
      <c r="B160" s="137">
        <f>'DOE25'!F499</f>
        <v>8281023.75</v>
      </c>
      <c r="C160" s="137">
        <f>'DOE25'!G499</f>
        <v>2137000</v>
      </c>
      <c r="D160" s="137">
        <f>'DOE25'!H499</f>
        <v>4509175</v>
      </c>
      <c r="E160" s="137">
        <f>'DOE25'!I499</f>
        <v>5420184.4100000001</v>
      </c>
      <c r="F160" s="137">
        <f>'DOE25'!J499</f>
        <v>0</v>
      </c>
      <c r="G160" s="138">
        <f t="shared" si="0"/>
        <v>20347383.16</v>
      </c>
    </row>
    <row r="161" spans="1:7" x14ac:dyDescent="0.2">
      <c r="A161" s="22" t="s">
        <v>38</v>
      </c>
      <c r="B161" s="137">
        <f>'DOE25'!F500</f>
        <v>670000</v>
      </c>
      <c r="C161" s="137">
        <f>'DOE25'!G500</f>
        <v>505000</v>
      </c>
      <c r="D161" s="137">
        <f>'DOE25'!H500</f>
        <v>275000</v>
      </c>
      <c r="E161" s="137">
        <f>'DOE25'!I500</f>
        <v>255000</v>
      </c>
      <c r="F161" s="137">
        <f>'DOE25'!J500</f>
        <v>0</v>
      </c>
      <c r="G161" s="138">
        <f t="shared" si="0"/>
        <v>1705000</v>
      </c>
    </row>
    <row r="162" spans="1:7" x14ac:dyDescent="0.2">
      <c r="A162" s="22" t="s">
        <v>39</v>
      </c>
      <c r="B162" s="137">
        <f>'DOE25'!F501</f>
        <v>300700</v>
      </c>
      <c r="C162" s="137">
        <f>'DOE25'!G501</f>
        <v>69100</v>
      </c>
      <c r="D162" s="137">
        <f>'DOE25'!H501</f>
        <v>135712.5</v>
      </c>
      <c r="E162" s="137">
        <f>'DOE25'!I501</f>
        <v>161606.26</v>
      </c>
      <c r="F162" s="137">
        <f>'DOE25'!J501</f>
        <v>0</v>
      </c>
      <c r="G162" s="138">
        <f t="shared" si="0"/>
        <v>667118.76</v>
      </c>
    </row>
    <row r="163" spans="1:7" x14ac:dyDescent="0.2">
      <c r="A163" s="22" t="s">
        <v>246</v>
      </c>
      <c r="B163" s="137">
        <f>'DOE25'!F502</f>
        <v>970700</v>
      </c>
      <c r="C163" s="137">
        <f>'DOE25'!G502</f>
        <v>574100</v>
      </c>
      <c r="D163" s="137">
        <f>'DOE25'!H502</f>
        <v>410712.5</v>
      </c>
      <c r="E163" s="137">
        <f>'DOE25'!I502</f>
        <v>416606.26</v>
      </c>
      <c r="F163" s="137">
        <f>'DOE25'!J502</f>
        <v>0</v>
      </c>
      <c r="G163" s="138">
        <f t="shared" si="0"/>
        <v>2372118.7599999998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4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LONDONDERRY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14771</v>
      </c>
    </row>
    <row r="5" spans="1:4" x14ac:dyDescent="0.2">
      <c r="B5" t="s">
        <v>704</v>
      </c>
      <c r="C5" s="179">
        <f>IF('DOE25'!G664+'DOE25'!G669=0,0,ROUND('DOE25'!G671,0))</f>
        <v>12202</v>
      </c>
    </row>
    <row r="6" spans="1:4" x14ac:dyDescent="0.2">
      <c r="B6" t="s">
        <v>62</v>
      </c>
      <c r="C6" s="179">
        <f>IF('DOE25'!H664+'DOE25'!H669=0,0,ROUND('DOE25'!H671,0))</f>
        <v>12744</v>
      </c>
    </row>
    <row r="7" spans="1:4" x14ac:dyDescent="0.2">
      <c r="B7" t="s">
        <v>705</v>
      </c>
      <c r="C7" s="179">
        <f>IF('DOE25'!I664+'DOE25'!I669=0,0,ROUND('DOE25'!I671,0))</f>
        <v>13396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26505176</v>
      </c>
      <c r="D10" s="182">
        <f>ROUND((C10/$C$28)*100,1)</f>
        <v>40.4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13119427</v>
      </c>
      <c r="D11" s="182">
        <f>ROUND((C11/$C$28)*100,1)</f>
        <v>20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62623</v>
      </c>
      <c r="D12" s="182">
        <f>ROUND((C12/$C$28)*100,1)</f>
        <v>0.1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1467792</v>
      </c>
      <c r="D13" s="182">
        <f>ROUND((C13/$C$28)*100,1)</f>
        <v>2.2000000000000002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5653451</v>
      </c>
      <c r="D15" s="182">
        <f t="shared" ref="D15:D27" si="0">ROUND((C15/$C$28)*100,1)</f>
        <v>8.6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2024101</v>
      </c>
      <c r="D16" s="182">
        <f t="shared" si="0"/>
        <v>3.1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2094074</v>
      </c>
      <c r="D17" s="182">
        <f t="shared" si="0"/>
        <v>3.2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2986992</v>
      </c>
      <c r="D18" s="182">
        <f t="shared" si="0"/>
        <v>4.5999999999999996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762462</v>
      </c>
      <c r="D19" s="182">
        <f t="shared" si="0"/>
        <v>1.2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6179178</v>
      </c>
      <c r="D20" s="182">
        <f t="shared" si="0"/>
        <v>9.4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3126203</v>
      </c>
      <c r="D21" s="182">
        <f t="shared" si="0"/>
        <v>4.8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16345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118812</v>
      </c>
      <c r="D24" s="182">
        <f t="shared" si="0"/>
        <v>0.2</v>
      </c>
    </row>
    <row r="25" spans="1:4" x14ac:dyDescent="0.2">
      <c r="A25">
        <v>5120</v>
      </c>
      <c r="B25" t="s">
        <v>720</v>
      </c>
      <c r="C25" s="179">
        <f>ROUND('DOE25'!L260+'DOE25'!L341,0)</f>
        <v>1093759</v>
      </c>
      <c r="D25" s="182">
        <f t="shared" si="0"/>
        <v>1.7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350325.67000000004</v>
      </c>
      <c r="D27" s="182">
        <f t="shared" si="0"/>
        <v>0.5</v>
      </c>
    </row>
    <row r="28" spans="1:4" x14ac:dyDescent="0.2">
      <c r="B28" s="187" t="s">
        <v>723</v>
      </c>
      <c r="C28" s="180">
        <f>SUM(C10:C27)</f>
        <v>65560720.670000002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65560720.670000002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1715000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42553516</v>
      </c>
      <c r="D35" s="182">
        <f t="shared" ref="D35:D40" si="1">ROUND((C35/$C$41)*100,1)</f>
        <v>62.9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349167.25</v>
      </c>
      <c r="D36" s="182">
        <f t="shared" si="1"/>
        <v>0.5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21227667</v>
      </c>
      <c r="D37" s="182">
        <f t="shared" si="1"/>
        <v>31.4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1038300</v>
      </c>
      <c r="D38" s="182">
        <f t="shared" si="1"/>
        <v>1.5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2030964</v>
      </c>
      <c r="D39" s="182">
        <f t="shared" si="1"/>
        <v>3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436885</v>
      </c>
      <c r="D40" s="182">
        <f t="shared" si="1"/>
        <v>0.6</v>
      </c>
    </row>
    <row r="41" spans="1:4" x14ac:dyDescent="0.2">
      <c r="B41" s="187" t="s">
        <v>736</v>
      </c>
      <c r="C41" s="180">
        <f>SUM(C35:C40)</f>
        <v>67636499.25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C8" sqref="C8:M8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LONDONDERRY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>
        <v>3</v>
      </c>
      <c r="B4" s="219">
        <v>24</v>
      </c>
      <c r="C4" s="285" t="s">
        <v>919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>
        <v>10</v>
      </c>
      <c r="B6" s="219">
        <v>10</v>
      </c>
      <c r="C6" s="285" t="s">
        <v>920</v>
      </c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 t="s">
        <v>921</v>
      </c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2013-09-09T17:31:15Z</cp:lastPrinted>
  <dcterms:created xsi:type="dcterms:W3CDTF">1997-12-04T19:04:30Z</dcterms:created>
  <dcterms:modified xsi:type="dcterms:W3CDTF">2013-12-05T18:49:18Z</dcterms:modified>
</cp:coreProperties>
</file>