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540" i="1" l="1"/>
  <c r="J520" i="1"/>
  <c r="K520" i="1"/>
  <c r="B10" i="12"/>
  <c r="J525" i="1"/>
  <c r="G196" i="1"/>
  <c r="F49" i="1"/>
  <c r="H30" i="1"/>
  <c r="G157" i="1"/>
  <c r="G13" i="1"/>
  <c r="H281" i="1"/>
  <c r="H278" i="1"/>
  <c r="H232" i="1"/>
  <c r="H214" i="1"/>
  <c r="I206" i="1"/>
  <c r="H206" i="1"/>
  <c r="J202" i="1"/>
  <c r="I202" i="1"/>
  <c r="H202" i="1"/>
  <c r="H201" i="1"/>
  <c r="I199" i="1"/>
  <c r="I196" i="1"/>
  <c r="H196" i="1"/>
  <c r="F104" i="1"/>
  <c r="C37" i="10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I457" i="1"/>
  <c r="J39" i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61" i="1" s="1"/>
  <c r="G471" i="1" s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62" i="2" s="1"/>
  <c r="G58" i="2"/>
  <c r="G60" i="2"/>
  <c r="F2" i="11"/>
  <c r="L612" i="1"/>
  <c r="H662" i="1"/>
  <c r="L611" i="1"/>
  <c r="G662" i="1"/>
  <c r="L610" i="1"/>
  <c r="F662" i="1"/>
  <c r="C40" i="10"/>
  <c r="F59" i="1"/>
  <c r="G59" i="1"/>
  <c r="H59" i="1"/>
  <c r="I59" i="1"/>
  <c r="F78" i="1"/>
  <c r="F93" i="1"/>
  <c r="F110" i="1"/>
  <c r="G110" i="1"/>
  <c r="G111" i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2" i="10"/>
  <c r="C13" i="10"/>
  <c r="C15" i="10"/>
  <c r="C16" i="10"/>
  <c r="C17" i="10"/>
  <c r="C18" i="10"/>
  <c r="C19" i="10"/>
  <c r="C20" i="10"/>
  <c r="C21" i="10"/>
  <c r="L249" i="1"/>
  <c r="L331" i="1"/>
  <c r="C23" i="10"/>
  <c r="L253" i="1"/>
  <c r="C25" i="10"/>
  <c r="L267" i="1"/>
  <c r="L268" i="1"/>
  <c r="L348" i="1"/>
  <c r="L349" i="1"/>
  <c r="I664" i="1"/>
  <c r="I669" i="1"/>
  <c r="L228" i="1"/>
  <c r="L246" i="1"/>
  <c r="H659" i="1" s="1"/>
  <c r="F660" i="1"/>
  <c r="G660" i="1"/>
  <c r="H660" i="1"/>
  <c r="F661" i="1"/>
  <c r="G661" i="1"/>
  <c r="H661" i="1"/>
  <c r="I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/>
  <c r="L521" i="1"/>
  <c r="F549" i="1" s="1"/>
  <c r="L522" i="1"/>
  <c r="F550" i="1" s="1"/>
  <c r="L525" i="1"/>
  <c r="G548" i="1"/>
  <c r="L526" i="1"/>
  <c r="G549" i="1" s="1"/>
  <c r="L527" i="1"/>
  <c r="G550" i="1" s="1"/>
  <c r="L530" i="1"/>
  <c r="H548" i="1" s="1"/>
  <c r="H551" i="1" s="1"/>
  <c r="L531" i="1"/>
  <c r="H549" i="1"/>
  <c r="L532" i="1"/>
  <c r="H550" i="1"/>
  <c r="L535" i="1"/>
  <c r="I548" i="1"/>
  <c r="L536" i="1"/>
  <c r="I549" i="1"/>
  <c r="L537" i="1"/>
  <c r="I550" i="1"/>
  <c r="L540" i="1"/>
  <c r="J548" i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/>
  <c r="G9" i="2" s="1"/>
  <c r="C10" i="2"/>
  <c r="C11" i="2"/>
  <c r="D11" i="2"/>
  <c r="E11" i="2"/>
  <c r="F11" i="2"/>
  <c r="I440" i="1"/>
  <c r="J12" i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/>
  <c r="C17" i="2"/>
  <c r="D17" i="2"/>
  <c r="E17" i="2"/>
  <c r="F17" i="2"/>
  <c r="I444" i="1"/>
  <c r="J18" i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G22" i="2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/>
  <c r="I456" i="1"/>
  <c r="J37" i="1"/>
  <c r="G36" i="2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E76" i="2"/>
  <c r="F76" i="2"/>
  <c r="G76" i="2"/>
  <c r="G77" i="2" s="1"/>
  <c r="G80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D144" i="2" s="1"/>
  <c r="F127" i="2"/>
  <c r="G127" i="2"/>
  <c r="C129" i="2"/>
  <c r="E129" i="2"/>
  <c r="F129" i="2"/>
  <c r="D133" i="2"/>
  <c r="D143" i="2"/>
  <c r="E133" i="2"/>
  <c r="F133" i="2"/>
  <c r="K418" i="1"/>
  <c r="K426" i="1"/>
  <c r="K432" i="1"/>
  <c r="L262" i="1"/>
  <c r="C134" i="2" s="1"/>
  <c r="E134" i="2"/>
  <c r="L263" i="1"/>
  <c r="C135" i="2"/>
  <c r="L264" i="1"/>
  <c r="C136" i="2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G50" i="1"/>
  <c r="G51" i="1"/>
  <c r="H617" i="1" s="1"/>
  <c r="J617" i="1" s="1"/>
  <c r="H50" i="1"/>
  <c r="H51" i="1" s="1"/>
  <c r="H618" i="1" s="1"/>
  <c r="I50" i="1"/>
  <c r="I51" i="1"/>
  <c r="H619" i="1" s="1"/>
  <c r="J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K336" i="1"/>
  <c r="K337" i="1"/>
  <c r="K351" i="1" s="1"/>
  <c r="F361" i="1"/>
  <c r="G361" i="1"/>
  <c r="H361" i="1"/>
  <c r="I361" i="1"/>
  <c r="G633" i="1"/>
  <c r="J361" i="1"/>
  <c r="K361" i="1"/>
  <c r="I367" i="1"/>
  <c r="F368" i="1"/>
  <c r="G368" i="1"/>
  <c r="H368" i="1"/>
  <c r="I368" i="1"/>
  <c r="L380" i="1"/>
  <c r="L381" i="1" s="1"/>
  <c r="G635" i="1" s="1"/>
  <c r="J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I469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9" i="1"/>
  <c r="H633" i="1"/>
  <c r="H635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J649" i="1" s="1"/>
  <c r="G650" i="1"/>
  <c r="G651" i="1"/>
  <c r="H651" i="1"/>
  <c r="G652" i="1"/>
  <c r="H652" i="1"/>
  <c r="G653" i="1"/>
  <c r="H653" i="1"/>
  <c r="H654" i="1"/>
  <c r="F191" i="1"/>
  <c r="L255" i="1"/>
  <c r="K256" i="1"/>
  <c r="K270" i="1"/>
  <c r="I256" i="1"/>
  <c r="I270" i="1"/>
  <c r="G256" i="1"/>
  <c r="G270" i="1"/>
  <c r="G159" i="2"/>
  <c r="C18" i="2"/>
  <c r="F31" i="2"/>
  <c r="C26" i="10"/>
  <c r="L327" i="1"/>
  <c r="L350" i="1"/>
  <c r="L289" i="1"/>
  <c r="A31" i="12"/>
  <c r="C69" i="2"/>
  <c r="A40" i="12"/>
  <c r="D12" i="13"/>
  <c r="C12" i="13" s="1"/>
  <c r="G161" i="2"/>
  <c r="D61" i="2"/>
  <c r="D62" i="2"/>
  <c r="E49" i="2"/>
  <c r="D18" i="13"/>
  <c r="C18" i="13" s="1"/>
  <c r="D15" i="13"/>
  <c r="C15" i="13" s="1"/>
  <c r="D7" i="13"/>
  <c r="C7" i="13" s="1"/>
  <c r="F102" i="2"/>
  <c r="D18" i="2"/>
  <c r="E18" i="2"/>
  <c r="D17" i="13"/>
  <c r="C17" i="13"/>
  <c r="D6" i="13"/>
  <c r="C6" i="13"/>
  <c r="E8" i="13"/>
  <c r="C8" i="13"/>
  <c r="G158" i="2"/>
  <c r="C90" i="2"/>
  <c r="F77" i="2"/>
  <c r="F80" i="2" s="1"/>
  <c r="F61" i="2"/>
  <c r="F62" i="2" s="1"/>
  <c r="F103" i="2" s="1"/>
  <c r="D31" i="2"/>
  <c r="C127" i="2"/>
  <c r="C77" i="2"/>
  <c r="C80" i="2"/>
  <c r="D49" i="2"/>
  <c r="G156" i="2"/>
  <c r="F49" i="2"/>
  <c r="F50" i="2"/>
  <c r="F18" i="2"/>
  <c r="G162" i="2"/>
  <c r="G157" i="2"/>
  <c r="G155" i="2"/>
  <c r="E143" i="2"/>
  <c r="E114" i="2"/>
  <c r="G102" i="2"/>
  <c r="E102" i="2"/>
  <c r="C102" i="2"/>
  <c r="D90" i="2"/>
  <c r="F90" i="2"/>
  <c r="E61" i="2"/>
  <c r="E62" i="2"/>
  <c r="C61" i="2"/>
  <c r="C62" i="2"/>
  <c r="E31" i="2"/>
  <c r="C31" i="2"/>
  <c r="G61" i="2"/>
  <c r="D29" i="13"/>
  <c r="C29" i="13" s="1"/>
  <c r="D19" i="13"/>
  <c r="C19" i="13" s="1"/>
  <c r="D14" i="13"/>
  <c r="C14" i="13" s="1"/>
  <c r="E13" i="13"/>
  <c r="C13" i="13" s="1"/>
  <c r="E77" i="2"/>
  <c r="E80" i="2" s="1"/>
  <c r="L426" i="1"/>
  <c r="J256" i="1"/>
  <c r="J270" i="1" s="1"/>
  <c r="H111" i="1"/>
  <c r="H192" i="1" s="1"/>
  <c r="H467" i="1" s="1"/>
  <c r="F111" i="1"/>
  <c r="J640" i="1"/>
  <c r="J638" i="1"/>
  <c r="K604" i="1"/>
  <c r="G647" i="1" s="1"/>
  <c r="J570" i="1"/>
  <c r="K570" i="1"/>
  <c r="L432" i="1"/>
  <c r="L418" i="1"/>
  <c r="I168" i="1"/>
  <c r="H168" i="1"/>
  <c r="E50" i="2"/>
  <c r="J643" i="1"/>
  <c r="J642" i="1"/>
  <c r="I475" i="1"/>
  <c r="H624" i="1"/>
  <c r="J624" i="1" s="1"/>
  <c r="G337" i="1"/>
  <c r="G351" i="1"/>
  <c r="F168" i="1"/>
  <c r="J139" i="1"/>
  <c r="F570" i="1"/>
  <c r="H256" i="1"/>
  <c r="H270" i="1" s="1"/>
  <c r="I551" i="1"/>
  <c r="K597" i="1"/>
  <c r="G646" i="1"/>
  <c r="J646" i="1" s="1"/>
  <c r="K544" i="1"/>
  <c r="C29" i="10"/>
  <c r="I660" i="1"/>
  <c r="H139" i="1"/>
  <c r="L400" i="1"/>
  <c r="C138" i="2"/>
  <c r="L392" i="1"/>
  <c r="C137" i="2"/>
  <c r="A13" i="12"/>
  <c r="F22" i="13"/>
  <c r="H25" i="13"/>
  <c r="C25" i="13" s="1"/>
  <c r="J650" i="1"/>
  <c r="J639" i="1"/>
  <c r="H570" i="1"/>
  <c r="L559" i="1"/>
  <c r="J544" i="1"/>
  <c r="H337" i="1"/>
  <c r="H351" i="1"/>
  <c r="F337" i="1"/>
  <c r="F351" i="1"/>
  <c r="G191" i="1"/>
  <c r="H191" i="1"/>
  <c r="E127" i="2"/>
  <c r="E144" i="2"/>
  <c r="C35" i="10"/>
  <c r="L308" i="1"/>
  <c r="D5" i="13"/>
  <c r="C5" i="13" s="1"/>
  <c r="E16" i="13"/>
  <c r="C49" i="2"/>
  <c r="J654" i="1"/>
  <c r="J644" i="1"/>
  <c r="L569" i="1"/>
  <c r="I570" i="1"/>
  <c r="I544" i="1"/>
  <c r="L564" i="1"/>
  <c r="G544" i="1"/>
  <c r="H544" i="1"/>
  <c r="C22" i="13"/>
  <c r="C16" i="13"/>
  <c r="H33" i="13"/>
  <c r="C24" i="10"/>
  <c r="G659" i="1"/>
  <c r="G663" i="1"/>
  <c r="G31" i="13"/>
  <c r="G33" i="13"/>
  <c r="I337" i="1"/>
  <c r="I351" i="1"/>
  <c r="L406" i="1"/>
  <c r="C139" i="2"/>
  <c r="L570" i="1"/>
  <c r="I191" i="1"/>
  <c r="E90" i="2"/>
  <c r="D50" i="2"/>
  <c r="J653" i="1"/>
  <c r="J652" i="1"/>
  <c r="L433" i="1"/>
  <c r="G637" i="1" s="1"/>
  <c r="J637" i="1" s="1"/>
  <c r="J433" i="1"/>
  <c r="F433" i="1"/>
  <c r="K433" i="1"/>
  <c r="G133" i="2"/>
  <c r="G143" i="2" s="1"/>
  <c r="G144" i="2" s="1"/>
  <c r="C6" i="10"/>
  <c r="F31" i="13"/>
  <c r="G168" i="1"/>
  <c r="C39" i="10"/>
  <c r="G139" i="1"/>
  <c r="F139" i="1"/>
  <c r="C5" i="10"/>
  <c r="G42" i="2"/>
  <c r="G16" i="2"/>
  <c r="F33" i="13"/>
  <c r="D31" i="13"/>
  <c r="C31" i="13" s="1"/>
  <c r="F544" i="1"/>
  <c r="H433" i="1"/>
  <c r="D102" i="2"/>
  <c r="I139" i="1"/>
  <c r="A22" i="12"/>
  <c r="J651" i="1"/>
  <c r="J641" i="1"/>
  <c r="G570" i="1"/>
  <c r="I433" i="1"/>
  <c r="G433" i="1"/>
  <c r="I662" i="1"/>
  <c r="C38" i="10"/>
  <c r="J633" i="1"/>
  <c r="J192" i="1"/>
  <c r="L407" i="1"/>
  <c r="J467" i="1" s="1"/>
  <c r="C36" i="10"/>
  <c r="G192" i="1"/>
  <c r="G467" i="1" s="1"/>
  <c r="G627" i="1"/>
  <c r="L337" i="1"/>
  <c r="L351" i="1" s="1"/>
  <c r="C11" i="10"/>
  <c r="C28" i="10" s="1"/>
  <c r="L210" i="1"/>
  <c r="F659" i="1" s="1"/>
  <c r="C27" i="10"/>
  <c r="G634" i="1"/>
  <c r="C103" i="2"/>
  <c r="F192" i="1"/>
  <c r="F467" i="1" s="1"/>
  <c r="F51" i="1"/>
  <c r="H616" i="1"/>
  <c r="J616" i="1" s="1"/>
  <c r="C140" i="2"/>
  <c r="C143" i="2"/>
  <c r="C144" i="2" s="1"/>
  <c r="G630" i="1"/>
  <c r="G645" i="1"/>
  <c r="G636" i="1"/>
  <c r="H645" i="1"/>
  <c r="J645" i="1" s="1"/>
  <c r="J648" i="1"/>
  <c r="H663" i="1"/>
  <c r="H671" i="1" s="1"/>
  <c r="H666" i="1"/>
  <c r="G666" i="1"/>
  <c r="G671" i="1"/>
  <c r="E103" i="2"/>
  <c r="C41" i="10"/>
  <c r="D36" i="10"/>
  <c r="G628" i="1"/>
  <c r="H469" i="1"/>
  <c r="H628" i="1"/>
  <c r="J628" i="1" s="1"/>
  <c r="D33" i="13"/>
  <c r="D36" i="13"/>
  <c r="L256" i="1"/>
  <c r="L270" i="1" s="1"/>
  <c r="C50" i="2"/>
  <c r="J618" i="1"/>
  <c r="D38" i="10"/>
  <c r="D39" i="10"/>
  <c r="D40" i="10"/>
  <c r="D35" i="10"/>
  <c r="D37" i="10"/>
  <c r="D41" i="10"/>
  <c r="E33" i="13"/>
  <c r="D35" i="13" s="1"/>
  <c r="L523" i="1"/>
  <c r="L544" i="1" s="1"/>
  <c r="K548" i="1"/>
  <c r="G551" i="1" l="1"/>
  <c r="F551" i="1"/>
  <c r="K549" i="1"/>
  <c r="I659" i="1"/>
  <c r="I663" i="1" s="1"/>
  <c r="F663" i="1"/>
  <c r="H471" i="1"/>
  <c r="G632" i="1"/>
  <c r="G631" i="1"/>
  <c r="F471" i="1"/>
  <c r="D18" i="10"/>
  <c r="D21" i="10"/>
  <c r="D16" i="10"/>
  <c r="D20" i="10"/>
  <c r="D10" i="10"/>
  <c r="D22" i="10"/>
  <c r="D24" i="10"/>
  <c r="D23" i="10"/>
  <c r="D15" i="10"/>
  <c r="D27" i="10"/>
  <c r="C30" i="10"/>
  <c r="D12" i="10"/>
  <c r="D13" i="10"/>
  <c r="D19" i="10"/>
  <c r="D11" i="10"/>
  <c r="D17" i="10"/>
  <c r="D26" i="10"/>
  <c r="D25" i="10"/>
  <c r="F469" i="1"/>
  <c r="H626" i="1"/>
  <c r="J351" i="1"/>
  <c r="H647" i="1"/>
  <c r="J647" i="1" s="1"/>
  <c r="G163" i="2"/>
  <c r="G21" i="2"/>
  <c r="G31" i="2" s="1"/>
  <c r="J32" i="1"/>
  <c r="G8" i="2"/>
  <c r="G18" i="2" s="1"/>
  <c r="J19" i="1"/>
  <c r="G620" i="1" s="1"/>
  <c r="K550" i="1"/>
  <c r="K551" i="1" s="1"/>
  <c r="G103" i="2"/>
  <c r="G473" i="1"/>
  <c r="H634" i="1"/>
  <c r="J634" i="1" s="1"/>
  <c r="G626" i="1"/>
  <c r="J626" i="1" s="1"/>
  <c r="G469" i="1"/>
  <c r="H627" i="1"/>
  <c r="J627" i="1" s="1"/>
  <c r="H636" i="1"/>
  <c r="J636" i="1" s="1"/>
  <c r="J469" i="1"/>
  <c r="J475" i="1" s="1"/>
  <c r="H625" i="1" s="1"/>
  <c r="H630" i="1"/>
  <c r="J630" i="1" s="1"/>
  <c r="G160" i="2"/>
  <c r="D80" i="2"/>
  <c r="D103" i="2" s="1"/>
  <c r="G49" i="2"/>
  <c r="G50" i="2" s="1"/>
  <c r="J551" i="1"/>
  <c r="I192" i="1"/>
  <c r="G629" i="1" s="1"/>
  <c r="J629" i="1" s="1"/>
  <c r="G44" i="2"/>
  <c r="J50" i="1"/>
  <c r="F143" i="2"/>
  <c r="F144" i="2" s="1"/>
  <c r="G475" i="1" l="1"/>
  <c r="H622" i="1" s="1"/>
  <c r="J622" i="1" s="1"/>
  <c r="H631" i="1"/>
  <c r="F473" i="1"/>
  <c r="F475" i="1" s="1"/>
  <c r="H621" i="1" s="1"/>
  <c r="J621" i="1" s="1"/>
  <c r="F666" i="1"/>
  <c r="F671" i="1"/>
  <c r="C4" i="10" s="1"/>
  <c r="G625" i="1"/>
  <c r="J625" i="1" s="1"/>
  <c r="J51" i="1"/>
  <c r="H620" i="1" s="1"/>
  <c r="J620" i="1" s="1"/>
  <c r="D28" i="10"/>
  <c r="J631" i="1"/>
  <c r="H632" i="1"/>
  <c r="J632" i="1" s="1"/>
  <c r="H473" i="1"/>
  <c r="H475" i="1" s="1"/>
  <c r="H623" i="1" s="1"/>
  <c r="J623" i="1" s="1"/>
  <c r="I671" i="1"/>
  <c r="C7" i="10" s="1"/>
  <c r="I666" i="1"/>
  <c r="H655" i="1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<sst xmlns="http://schemas.openxmlformats.org/spreadsheetml/2006/main" count="3944" uniqueCount="910">
  <si>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</si>
  <si>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</si>
  <si>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</si>
  <si>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</si>
  <si>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</si>
  <si>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</si>
  <si>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</si>
  <si>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</si>
  <si>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</si>
  <si>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</si>
  <si>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</si>
  <si>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</si>
  <si>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</si>
  <si>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</si>
  <si>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</si>
  <si>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</si>
  <si>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</si>
  <si>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</si>
  <si>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</si>
  <si>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</si>
  <si>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</si>
  <si>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</si>
  <si>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</si>
  <si>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</si>
  <si>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</si>
  <si>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</si>
  <si>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</si>
  <si>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</si>
  <si>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</si>
  <si>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</si>
  <si>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</si>
  <si>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</si>
  <si>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</si>
  <si>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</si>
  <si>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</si>
  <si>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</si>
  <si>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</si>
  <si>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</si>
  <si>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</si>
  <si>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</si>
  <si>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</si>
  <si>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</si>
  <si>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</si>
  <si>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</si>
  <si>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</si>
  <si>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</si>
  <si>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</si>
  <si>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</si>
  <si>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</si>
  <si>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</si>
  <si>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</si>
  <si>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</si>
  <si>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</si>
  <si>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</si>
  <si>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</si>
  <si>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</si>
  <si>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</si>
  <si>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</si>
  <si>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</si>
  <si>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</si>
  <si>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</si>
  <si>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</si>
  <si>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</si>
  <si>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</si>
  <si>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</si>
  <si>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</si>
  <si>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</si>
  <si>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</si>
  <si>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</si>
  <si>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</si>
  <si>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</si>
  <si>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</si>
  <si>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</si>
  <si>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</si>
  <si>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</si>
  <si>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</si>
  <si>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</si>
  <si>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</si>
  <si>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</si>
  <si>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</si>
  <si>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</si>
  <si>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</si>
  <si>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</si>
  <si>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</si>
  <si>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</si>
  <si>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</si>
  <si>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</si>
  <si>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</si>
  <si>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</si>
  <si>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</si>
  <si>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</si>
  <si>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</si>
  <si>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</si>
  <si>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</si>
  <si>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</si>
  <si>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</si>
  <si>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</si>
  <si>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</si>
  <si>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</si>
  <si>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</si>
  <si>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</si>
  <si>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</si>
  <si>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</si>
  <si>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</si>
  <si>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</si>
  <si>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</si>
  <si>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</si>
  <si>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</si>
  <si>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</si>
  <si>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</si>
  <si>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</si>
  <si>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</si>
  <si>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</si>
  <si>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</si>
  <si>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</si>
  <si>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</si>
  <si>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</si>
  <si>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</si>
  <si>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</si>
  <si>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</si>
  <si>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</si>
  <si>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</si>
  <si>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</si>
  <si>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</si>
  <si>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</si>
  <si>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</si>
  <si>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</si>
  <si>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</si>
  <si>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</si>
  <si>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</si>
  <si>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</si>
  <si>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</si>
  <si>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</si>
  <si>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</si>
  <si>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</si>
  <si>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</si>
  <si>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</si>
  <si>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</si>
  <si>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</si>
  <si>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</si>
  <si>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</si>
  <si>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</si>
  <si>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</si>
  <si>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</si>
  <si>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</si>
  <si>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</si>
  <si>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</si>
  <si>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</si>
  <si>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</si>
  <si>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</si>
  <si>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</si>
  <si>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</si>
  <si>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</si>
  <si>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</si>
  <si>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</si>
  <si>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</si>
  <si>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</si>
  <si>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</si>
  <si>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</si>
  <si>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</si>
  <si>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</si>
  <si>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</si>
  <si>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</si>
  <si>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</si>
  <si>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</si>
  <si>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</si>
  <si>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</si>
  <si>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</si>
  <si>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</si>
  <si>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</si>
  <si>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</si>
  <si>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</si>
  <si>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</si>
  <si>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</si>
  <si>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</si>
  <si>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</si>
  <si>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</si>
  <si>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</si>
  <si>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</si>
  <si>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</si>
  <si>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</si>
  <si>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</si>
  <si>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</si>
  <si>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</si>
  <si>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</si>
  <si>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</si>
  <si>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</si>
  <si>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</si>
  <si>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</si>
  <si>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</si>
  <si>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</si>
  <si>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</si>
  <si>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</si>
  <si>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</si>
  <si>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</si>
  <si>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</si>
  <si>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</si>
  <si>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</si>
  <si>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</si>
  <si>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</si>
  <si>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</si>
  <si>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</si>
  <si>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</si>
  <si>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</si>
  <si>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</si>
  <si>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</si>
  <si>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</si>
  <si>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</si>
  <si>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</si>
  <si>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</si>
  <si>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</si>
  <si>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</si>
  <si>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</si>
  <si>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</si>
  <si>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</si>
  <si>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</si>
  <si>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</si>
  <si>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</si>
  <si>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</si>
  <si>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</si>
  <si>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</si>
  <si>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</si>
  <si>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</si>
  <si>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</si>
  <si>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</si>
  <si>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</si>
  <si>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</si>
  <si>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</si>
  <si>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</si>
  <si>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</si>
  <si>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</si>
  <si>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</si>
  <si>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</si>
  <si>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</si>
  <si>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</si>
  <si>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</si>
  <si>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</si>
  <si>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</si>
  <si>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</si>
  <si>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</si>
  <si>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</si>
  <si>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</si>
  <si>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</si>
  <si>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</si>
  <si>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</si>
  <si>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</si>
  <si>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</si>
  <si>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</si>
  <si>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</si>
  <si>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</si>
  <si>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</si>
  <si>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</si>
  <si>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</si>
  <si>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</si>
  <si>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</si>
  <si>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</si>
  <si>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</si>
  <si>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</si>
  <si>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</si>
  <si>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</si>
  <si>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</si>
  <si>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</si>
  <si>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</si>
  <si>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</si>
  <si>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</si>
  <si>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</si>
  <si>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</si>
  <si>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</si>
  <si>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</si>
  <si>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</si>
  <si>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</si>
  <si>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</si>
  <si>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</si>
  <si>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</si>
  <si>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</si>
  <si>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</si>
  <si>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</si>
  <si>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</si>
  <si>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</si>
  <si>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</si>
  <si>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</si>
  <si>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</si>
  <si>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</si>
  <si>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</si>
  <si>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</si>
  <si>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</si>
  <si>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</si>
  <si>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</si>
  <si>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</si>
  <si>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</si>
  <si>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</si>
  <si>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</si>
  <si>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</si>
  <si>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</si>
  <si>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</si>
  <si>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</si>
  <si>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</si>
  <si>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</si>
  <si>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</si>
  <si>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</si>
  <si>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</si>
  <si>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</si>
  <si>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</si>
  <si>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</si>
  <si>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</si>
  <si>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</si>
  <si>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</si>
  <si>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</si>
  <si>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</si>
  <si>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</si>
  <si>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</si>
  <si>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</si>
  <si>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</si>
  <si>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</si>
  <si>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</si>
  <si>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</si>
  <si>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</si>
  <si>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</si>
  <si>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</si>
  <si>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</si>
  <si>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</si>
  <si>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</si>
  <si>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</si>
  <si>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</si>
  <si>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</si>
  <si>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</si>
  <si>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</si>
  <si>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</si>
  <si>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</si>
  <si>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</si>
  <si>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</si>
  <si>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</si>
  <si>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</si>
  <si>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</si>
  <si>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</si>
  <si>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</si>
  <si>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</si>
  <si>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</si>
  <si>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</si>
  <si>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</si>
  <si>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</si>
  <si>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</si>
  <si>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</si>
  <si>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</si>
  <si>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</si>
  <si>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</si>
  <si>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</si>
  <si>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</si>
  <si>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</si>
  <si>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</si>
  <si>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</si>
  <si>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</si>
  <si>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</si>
  <si>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</si>
  <si>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</si>
  <si>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</si>
  <si>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</si>
  <si>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</si>
  <si>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</si>
  <si>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</si>
  <si>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</si>
  <si>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</si>
  <si>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</si>
  <si>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</si>
  <si>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</si>
  <si>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</si>
  <si>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</si>
  <si>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</si>
  <si>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</si>
  <si>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</si>
  <si>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</si>
  <si>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</si>
  <si>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</si>
  <si>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</si>
  <si>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</si>
  <si>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</si>
  <si>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</si>
  <si>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</si>
  <si>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</si>
  <si>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</si>
  <si>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</si>
  <si>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</si>
  <si>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</si>
  <si>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</si>
  <si>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</si>
  <si>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</si>
  <si>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</si>
  <si>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</si>
  <si>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</si>
  <si>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</si>
  <si>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</si>
  <si>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</si>
  <si>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</si>
  <si>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</si>
  <si>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</si>
  <si>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</si>
  <si>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</si>
  <si>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</si>
  <si>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</si>
  <si>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</si>
  <si>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</si>
  <si>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</si>
  <si>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</si>
  <si>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</si>
  <si>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</si>
  <si>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</si>
  <si>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</si>
  <si>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</si>
  <si>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</si>
  <si>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</si>
  <si>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</si>
  <si>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</si>
  <si>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</si>
  <si>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</si>
  <si>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</si>
  <si>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</si>
  <si>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</si>
  <si>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</si>
  <si>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</si>
  <si>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</si>
  <si>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</si>
  <si>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</si>
  <si>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</si>
  <si>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</si>
  <si>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</si>
  <si>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</si>
  <si>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</si>
  <si>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</si>
  <si>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</si>
  <si>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</si>
  <si>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</si>
  <si>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</si>
  <si>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</si>
  <si>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</si>
  <si>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</si>
  <si>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</si>
  <si>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</si>
  <si>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</si>
  <si>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</si>
  <si>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</si>
  <si>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</si>
  <si>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</si>
  <si>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</si>
  <si>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</si>
  <si>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</si>
  <si>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</si>
  <si>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</si>
  <si>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</si>
  <si>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</si>
  <si>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</si>
  <si>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</si>
  <si>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</si>
  <si>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</si>
  <si>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</si>
  <si>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</si>
  <si>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</si>
  <si>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</si>
  <si>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</si>
  <si>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</si>
  <si>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</si>
  <si>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</si>
  <si>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</si>
  <si>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</si>
  <si>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</si>
  <si>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</si>
  <si>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</si>
  <si>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</si>
  <si>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</si>
  <si>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</si>
  <si>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</si>
  <si>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</si>
  <si>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</si>
  <si>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</si>
  <si>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</si>
  <si>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</si>
  <si>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</si>
  <si>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</si>
  <si>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</si>
  <si>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</si>
  <si>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</si>
  <si>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</si>
  <si>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</si>
  <si>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</si>
  <si>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</si>
  <si>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</si>
  <si>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</si>
  <si>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</si>
  <si>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</si>
  <si>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</si>
  <si>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</si>
  <si>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</si>
  <si>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</si>
  <si>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</si>
  <si>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</si>
  <si>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</si>
  <si>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</si>
  <si>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</si>
  <si>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</si>
  <si>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</si>
  <si>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</si>
  <si>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</si>
  <si>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</si>
  <si>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</si>
  <si>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</si>
  <si>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</si>
  <si>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</si>
  <si>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</si>
  <si>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</si>
  <si>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</si>
  <si>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</si>
  <si>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</si>
  <si>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</si>
  <si>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</si>
  <si>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</si>
  <si>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</si>
  <si>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</si>
  <si>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</si>
  <si>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</si>
  <si>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</si>
  <si>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</si>
  <si>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</si>
  <si>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</si>
  <si>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</si>
  <si>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</si>
  <si>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</si>
  <si>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</si>
  <si>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</si>
  <si>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</si>
  <si>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</si>
  <si>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</si>
  <si>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</si>
  <si>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</si>
  <si>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</si>
  <si>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</si>
  <si>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</si>
  <si>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</si>
  <si>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</si>
  <si>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</si>
  <si>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</si>
  <si>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</si>
  <si>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</si>
  <si>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</si>
  <si>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</si>
  <si>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</si>
  <si>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</si>
  <si>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</si>
  <si>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</si>
  <si>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</si>
  <si>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</si>
  <si>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</si>
  <si>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</si>
  <si>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</si>
  <si>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</si>
  <si>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</si>
  <si>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</si>
  <si>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</si>
  <si>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</si>
  <si>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</si>
  <si>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</si>
  <si>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</si>
  <si>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</si>
  <si>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</si>
  <si>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</si>
  <si>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</si>
  <si>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</si>
  <si>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</si>
  <si>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</si>
  <si>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</si>
  <si>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</si>
  <si>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</si>
  <si>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</si>
  <si>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</si>
  <si>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</si>
  <si>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</si>
  <si>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</si>
  <si>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</si>
  <si>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</si>
  <si>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</si>
  <si>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</si>
  <si>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</si>
  <si>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</si>
  <si>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</si>
  <si>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</si>
  <si>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</si>
  <si>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</si>
  <si>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</si>
  <si>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</si>
  <si>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</si>
  <si>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</si>
  <si>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</si>
  <si>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</si>
  <si>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</si>
  <si>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</si>
  <si>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</si>
  <si>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</si>
  <si>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</si>
  <si>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</si>
  <si>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</si>
  <si>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</si>
  <si>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</si>
  <si>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</si>
  <si>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</si>
  <si>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</si>
  <si>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</si>
  <si>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</si>
  <si>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</si>
  <si>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</si>
  <si>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</si>
  <si>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</si>
  <si>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</si>
  <si>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</si>
  <si>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</si>
  <si>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</si>
  <si>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</si>
  <si>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</si>
  <si>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</si>
  <si>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</si>
  <si>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</si>
  <si>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</si>
  <si>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</si>
  <si>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</si>
  <si>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</si>
  <si>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</si>
  <si>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</si>
  <si>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</si>
  <si>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</si>
  <si>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</si>
  <si>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</si>
  <si>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</si>
  <si>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</si>
  <si>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</si>
  <si>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</si>
  <si>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</si>
  <si>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</si>
  <si>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</si>
  <si>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</si>
  <si>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</si>
  <si>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</si>
  <si>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</si>
  <si>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</si>
  <si>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</si>
  <si>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</si>
  <si>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</si>
  <si>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</si>
  <si>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</si>
  <si>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</si>
  <si>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</si>
  <si>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</si>
  <si>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</si>
  <si>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</si>
  <si>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</si>
  <si>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</si>
  <si>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</si>
  <si>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</si>
  <si>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</si>
  <si>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</si>
  <si>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</si>
  <si>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</si>
  <si>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</si>
  <si>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</si>
  <si>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</si>
  <si>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</si>
  <si>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</si>
  <si>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</si>
  <si>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</si>
  <si>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</si>
  <si>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</si>
  <si>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</si>
  <si>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</si>
  <si>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</si>
  <si>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</si>
  <si>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</si>
  <si>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</si>
  <si>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</si>
  <si>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</si>
  <si>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</si>
  <si>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</si>
  <si>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</si>
  <si>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</si>
  <si>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</si>
  <si>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</si>
  <si>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</si>
  <si>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</si>
  <si>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</si>
  <si>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</si>
  <si>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</si>
  <si>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</si>
  <si>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</si>
  <si>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</si>
  <si>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</si>
  <si>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</si>
  <si>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</si>
  <si>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</si>
  <si>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</si>
  <si>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</si>
  <si>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</si>
  <si>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</si>
  <si>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</si>
  <si>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</si>
  <si>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</si>
  <si>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</si>
  <si>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</si>
  <si>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</si>
  <si>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</si>
  <si>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</si>
  <si>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</si>
  <si>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</si>
  <si>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</si>
  <si>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</si>
  <si>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</si>
  <si>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</si>
  <si>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</si>
  <si>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</si>
  <si>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</si>
  <si>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</si>
  <si>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</si>
  <si>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</si>
  <si>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</si>
  <si>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</si>
  <si>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</si>
  <si>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</si>
  <si>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</si>
  <si>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</si>
  <si>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</si>
  <si>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</si>
  <si>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</si>
  <si>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</si>
  <si>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</si>
  <si>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</si>
  <si>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</si>
  <si>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</si>
  <si>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</si>
  <si>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</si>
  <si>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</si>
  <si>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</si>
  <si>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</si>
  <si>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</si>
  <si>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</si>
  <si>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</si>
  <si>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</si>
  <si>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</si>
  <si>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</si>
  <si>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</si>
  <si>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</si>
  <si>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</si>
  <si>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</si>
  <si>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</si>
  <si>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</si>
  <si>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</si>
  <si>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</si>
  <si>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</si>
  <si>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</si>
  <si>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</si>
  <si>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</si>
  <si>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</si>
  <si>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</si>
  <si>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</si>
  <si>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</si>
  <si>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</si>
  <si>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</si>
  <si>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</si>
  <si>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</si>
  <si>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</si>
  <si>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</si>
  <si>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</si>
  <si>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</si>
  <si>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</si>
  <si>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</si>
  <si>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</si>
  <si>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</si>
  <si>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</si>
  <si>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</si>
  <si>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</si>
  <si>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</si>
  <si>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</si>
  <si>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</si>
  <si>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</si>
  <si>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</si>
  <si>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</si>
  <si>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</si>
  <si>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</si>
  <si>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</si>
  <si>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</si>
  <si>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</si>
  <si>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</si>
  <si>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</si>
  <si>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</si>
  <si>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</si>
  <si>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</si>
  <si>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</si>
  <si>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</si>
  <si>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</si>
  <si>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</si>
  <si>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</si>
  <si>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</si>
  <si>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</si>
  <si>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</si>
  <si>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</si>
  <si>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</si>
  <si>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</si>
  <si>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</si>
  <si>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</si>
  <si>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</si>
  <si>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</si>
  <si>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</si>
  <si>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</si>
  <si>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</si>
  <si>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</si>
  <si>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</si>
  <si>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</si>
  <si>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</si>
  <si>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</si>
  <si>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</si>
  <si>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</si>
  <si>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</si>
  <si>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</si>
  <si>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</si>
  <si>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</si>
  <si>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</si>
  <si>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</si>
  <si>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</si>
  <si>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</si>
  <si>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</si>
  <si>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</si>
  <si>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</si>
  <si>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</si>
  <si>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</si>
  <si>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</si>
  <si>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</si>
  <si>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</si>
  <si>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</si>
  <si>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</si>
  <si>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</si>
  <si>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</si>
  <si>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</si>
  <si>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</si>
  <si>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</si>
  <si>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</si>
  <si>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</si>
  <si>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</si>
  <si>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</si>
  <si>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</si>
  <si>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</si>
  <si>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</si>
  <si>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</si>
  <si>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</si>
  <si>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</si>
  <si>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</si>
  <si>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</si>
  <si>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</si>
  <si>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</si>
  <si>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</si>
  <si>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</si>
  <si>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</si>
  <si>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</si>
  <si>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</si>
  <si>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</si>
  <si>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</si>
  <si>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</si>
  <si>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</si>
  <si>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</si>
  <si>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</si>
  <si>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</si>
  <si>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</si>
  <si>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</si>
  <si>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</si>
  <si>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</si>
  <si>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</si>
  <si>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</si>
  <si>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</si>
  <si>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</si>
  <si>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</si>
  <si>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</si>
  <si>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</si>
  <si>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</si>
  <si>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</si>
  <si>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</si>
  <si>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</si>
  <si>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</si>
  <si>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</si>
  <si>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</si>
  <si>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</si>
  <si>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</si>
  <si>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</si>
  <si>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</si>
  <si>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</si>
  <si>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</si>
  <si>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</si>
  <si>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</si>
  <si>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</si>
  <si>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</si>
  <si>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</si>
  <si>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</si>
  <si>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</si>
  <si>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</si>
  <si>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</si>
  <si>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</si>
  <si>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</si>
  <si>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</si>
  <si>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</si>
  <si>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</si>
  <si>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</si>
  <si>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</si>
  <si>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</si>
  <si>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</si>
  <si>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</si>
  <si>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</si>
  <si>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</si>
  <si>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</si>
  <si>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Madison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</si>
</sst>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90" zoomScaleNormal="9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68" sqref="H66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333</v>
      </c>
      <c r="C2" s="21">
        <v>333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168159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160462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>
        <v>23486</v>
      </c>
      <c r="I12" s="18"/>
      <c r="J12" s="67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f>15507+287</f>
        <v>15794</v>
      </c>
      <c r="H13" s="18">
        <v>38061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37049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205208</v>
      </c>
      <c r="G19" s="41">
        <f>SUM(G9:G18)</f>
        <v>15794</v>
      </c>
      <c r="H19" s="41">
        <f>SUM(H9:H18)</f>
        <v>61547</v>
      </c>
      <c r="I19" s="41">
        <f>SUM(I9:I18)</f>
        <v>0</v>
      </c>
      <c r="J19" s="41">
        <f>SUM(J9:J18)</f>
        <v>160462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7692</v>
      </c>
      <c r="G22" s="18">
        <v>15794</v>
      </c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18692</v>
      </c>
      <c r="G24" s="18"/>
      <c r="H24" s="18">
        <v>888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613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f>45207+15452</f>
        <v>60659</v>
      </c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26997</v>
      </c>
      <c r="G32" s="41">
        <f>SUM(G22:G31)</f>
        <v>15794</v>
      </c>
      <c r="H32" s="41">
        <f>SUM(H22:H31)</f>
        <v>61547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160462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64354</v>
      </c>
      <c r="G48" s="18"/>
      <c r="H48" s="18"/>
      <c r="I48" s="18"/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127068-13211</f>
        <v>113857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178211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160462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205208</v>
      </c>
      <c r="G51" s="41">
        <f>G50+G32</f>
        <v>15794</v>
      </c>
      <c r="H51" s="41">
        <f>H50+H32</f>
        <v>61547</v>
      </c>
      <c r="I51" s="41">
        <f>I50+I32</f>
        <v>0</v>
      </c>
      <c r="J51" s="41">
        <f>J50+J32</f>
        <v>160462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3924434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3924434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26758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26758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4350</v>
      </c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4350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155</v>
      </c>
      <c r="G95" s="18"/>
      <c r="H95" s="18"/>
      <c r="I95" s="18"/>
      <c r="J95" s="18"/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33212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f>59245</f>
        <v>59245</v>
      </c>
      <c r="G104" s="18">
        <v>37631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3078</v>
      </c>
      <c r="G109" s="18"/>
      <c r="H109" s="18">
        <v>25708</v>
      </c>
      <c r="I109" s="18"/>
      <c r="J109" s="18"/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62478</v>
      </c>
      <c r="G110" s="41">
        <f>SUM(G95:G109)</f>
        <v>70843</v>
      </c>
      <c r="H110" s="41">
        <f>SUM(H95:H109)</f>
        <v>25708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4018020</v>
      </c>
      <c r="G111" s="41">
        <f>G59+G110</f>
        <v>70843</v>
      </c>
      <c r="H111" s="41">
        <f>H59+H78+H93+H110</f>
        <v>25708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479843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1070035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1549878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11190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1750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11190</v>
      </c>
      <c r="G135" s="41">
        <f>SUM(G122:G134)</f>
        <v>1750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1561068</v>
      </c>
      <c r="G139" s="41">
        <f>G120+SUM(G135:G136)</f>
        <v>1750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46203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99259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38459+8285+4466</f>
        <v>51210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22180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22180</v>
      </c>
      <c r="G161" s="41">
        <f>SUM(G149:G160)</f>
        <v>51210</v>
      </c>
      <c r="H161" s="41">
        <f>SUM(H149:H160)</f>
        <v>145462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22180</v>
      </c>
      <c r="G168" s="41">
        <f>G146+G161+SUM(G162:G167)</f>
        <v>51210</v>
      </c>
      <c r="H168" s="41">
        <f>H146+H161+SUM(H162:H167)</f>
        <v>145462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8208</v>
      </c>
      <c r="H178" s="18"/>
      <c r="I178" s="18"/>
      <c r="J178" s="18">
        <v>15000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8208</v>
      </c>
      <c r="H182" s="41">
        <f>SUM(H178:H181)</f>
        <v>0</v>
      </c>
      <c r="I182" s="41">
        <f>SUM(I178:I181)</f>
        <v>0</v>
      </c>
      <c r="J182" s="41">
        <f>SUM(J178:J181)</f>
        <v>15000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8208</v>
      </c>
      <c r="H191" s="41">
        <f>+H182+SUM(H187:H190)</f>
        <v>0</v>
      </c>
      <c r="I191" s="41">
        <f>I176+I182+SUM(I187:I190)</f>
        <v>0</v>
      </c>
      <c r="J191" s="41">
        <f>J182</f>
        <v>15000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5601268</v>
      </c>
      <c r="G192" s="47">
        <f>G111+G139+G168+G191</f>
        <v>132011</v>
      </c>
      <c r="H192" s="47">
        <f>H111+H139+H168+H191</f>
        <v>171170</v>
      </c>
      <c r="I192" s="47">
        <f>I111+I139+I168+I191</f>
        <v>0</v>
      </c>
      <c r="J192" s="47">
        <f>J111+J139+J191</f>
        <v>15000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907769</v>
      </c>
      <c r="G196" s="18">
        <f>389095+32518</f>
        <v>421613</v>
      </c>
      <c r="H196" s="18">
        <f>3317+15301</f>
        <v>18618</v>
      </c>
      <c r="I196" s="18">
        <f>59537+3019</f>
        <v>62556</v>
      </c>
      <c r="J196" s="18">
        <v>13347</v>
      </c>
      <c r="K196" s="18">
        <v>80</v>
      </c>
      <c r="L196" s="19">
        <f>SUM(F196:K196)</f>
        <v>1423983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210411</v>
      </c>
      <c r="G197" s="18">
        <v>116254</v>
      </c>
      <c r="H197" s="18">
        <v>70881</v>
      </c>
      <c r="I197" s="18">
        <v>1079</v>
      </c>
      <c r="J197" s="18"/>
      <c r="K197" s="18"/>
      <c r="L197" s="19">
        <f>SUM(F197:K197)</f>
        <v>398625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2200</v>
      </c>
      <c r="G199" s="18">
        <v>313</v>
      </c>
      <c r="H199" s="18">
        <v>1250</v>
      </c>
      <c r="I199" s="18">
        <f>829+235</f>
        <v>1064</v>
      </c>
      <c r="J199" s="18"/>
      <c r="K199" s="18"/>
      <c r="L199" s="19">
        <f>SUM(F199:K199)</f>
        <v>4827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133289</v>
      </c>
      <c r="G201" s="18">
        <v>64376</v>
      </c>
      <c r="H201" s="18">
        <f>42741+805</f>
        <v>43546</v>
      </c>
      <c r="I201" s="18">
        <v>923</v>
      </c>
      <c r="J201" s="18">
        <v>207</v>
      </c>
      <c r="K201" s="18">
        <v>308</v>
      </c>
      <c r="L201" s="19">
        <f t="shared" ref="L201:L207" si="0">SUM(F201:K201)</f>
        <v>242649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>
        <v>57403</v>
      </c>
      <c r="H202" s="18">
        <f>58512+1623</f>
        <v>60135</v>
      </c>
      <c r="I202" s="18">
        <f>3496+9701+75+75</f>
        <v>13347</v>
      </c>
      <c r="J202" s="18">
        <f>4351+293</f>
        <v>4644</v>
      </c>
      <c r="K202" s="18"/>
      <c r="L202" s="19">
        <f t="shared" si="0"/>
        <v>135529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5810</v>
      </c>
      <c r="G203" s="18">
        <v>402</v>
      </c>
      <c r="H203" s="18">
        <v>251295</v>
      </c>
      <c r="I203" s="18">
        <v>0</v>
      </c>
      <c r="J203" s="18"/>
      <c r="K203" s="18">
        <v>3010</v>
      </c>
      <c r="L203" s="19">
        <f t="shared" si="0"/>
        <v>260517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154141</v>
      </c>
      <c r="G204" s="18">
        <v>68263</v>
      </c>
      <c r="H204" s="18">
        <v>1984</v>
      </c>
      <c r="I204" s="18">
        <v>3741</v>
      </c>
      <c r="J204" s="18">
        <v>78</v>
      </c>
      <c r="K204" s="18">
        <v>244</v>
      </c>
      <c r="L204" s="19">
        <f t="shared" si="0"/>
        <v>228451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62524</v>
      </c>
      <c r="G206" s="18">
        <v>44796</v>
      </c>
      <c r="H206" s="18">
        <f>467+23617+4550</f>
        <v>28634</v>
      </c>
      <c r="I206" s="18">
        <f>94768+4793</f>
        <v>99561</v>
      </c>
      <c r="J206" s="18">
        <v>494</v>
      </c>
      <c r="K206" s="18"/>
      <c r="L206" s="19">
        <f t="shared" si="0"/>
        <v>236009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40693</v>
      </c>
      <c r="G207" s="18">
        <v>8592</v>
      </c>
      <c r="H207" s="18">
        <v>12603</v>
      </c>
      <c r="I207" s="18">
        <v>14789</v>
      </c>
      <c r="J207" s="18">
        <v>9064</v>
      </c>
      <c r="K207" s="18"/>
      <c r="L207" s="19">
        <f t="shared" si="0"/>
        <v>85741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1516837</v>
      </c>
      <c r="G210" s="41">
        <f t="shared" si="1"/>
        <v>782012</v>
      </c>
      <c r="H210" s="41">
        <f t="shared" si="1"/>
        <v>488946</v>
      </c>
      <c r="I210" s="41">
        <f t="shared" si="1"/>
        <v>197060</v>
      </c>
      <c r="J210" s="41">
        <f t="shared" si="1"/>
        <v>27834</v>
      </c>
      <c r="K210" s="41">
        <f t="shared" si="1"/>
        <v>3642</v>
      </c>
      <c r="L210" s="41">
        <f t="shared" si="1"/>
        <v>3016331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f>871584+99200</f>
        <v>970784</v>
      </c>
      <c r="I214" s="18"/>
      <c r="J214" s="18"/>
      <c r="K214" s="18"/>
      <c r="L214" s="19">
        <f>SUM(F214:K214)</f>
        <v>970784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v>52773</v>
      </c>
      <c r="I215" s="18"/>
      <c r="J215" s="18"/>
      <c r="K215" s="18"/>
      <c r="L215" s="19">
        <f>SUM(F215:K215)</f>
        <v>52773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14419</v>
      </c>
      <c r="G225" s="18">
        <v>3044</v>
      </c>
      <c r="H225" s="18">
        <v>4466</v>
      </c>
      <c r="I225" s="18">
        <v>5240</v>
      </c>
      <c r="J225" s="18">
        <v>3212</v>
      </c>
      <c r="K225" s="18"/>
      <c r="L225" s="19">
        <f t="shared" si="2"/>
        <v>30381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14419</v>
      </c>
      <c r="G228" s="41">
        <f>SUM(G214:G227)</f>
        <v>3044</v>
      </c>
      <c r="H228" s="41">
        <f>SUM(H214:H227)</f>
        <v>1028023</v>
      </c>
      <c r="I228" s="41">
        <f>SUM(I214:I227)</f>
        <v>5240</v>
      </c>
      <c r="J228" s="41">
        <f>SUM(J214:J227)</f>
        <v>3212</v>
      </c>
      <c r="K228" s="41">
        <f t="shared" si="3"/>
        <v>0</v>
      </c>
      <c r="L228" s="41">
        <f t="shared" si="3"/>
        <v>1053938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1309778+125280</f>
        <v>1435058</v>
      </c>
      <c r="I232" s="18"/>
      <c r="J232" s="18"/>
      <c r="K232" s="18"/>
      <c r="L232" s="19">
        <f>SUM(F232:K232)</f>
        <v>1435058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93388</v>
      </c>
      <c r="I233" s="18"/>
      <c r="J233" s="18"/>
      <c r="K233" s="18"/>
      <c r="L233" s="19">
        <f>SUM(F233:K233)</f>
        <v>93388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33014</v>
      </c>
      <c r="G243" s="18">
        <v>6971</v>
      </c>
      <c r="H243" s="18">
        <v>10225</v>
      </c>
      <c r="I243" s="18">
        <v>11998</v>
      </c>
      <c r="J243" s="18">
        <v>7352</v>
      </c>
      <c r="K243" s="18"/>
      <c r="L243" s="19">
        <f t="shared" si="4"/>
        <v>69560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33014</v>
      </c>
      <c r="G246" s="41">
        <f t="shared" si="5"/>
        <v>6971</v>
      </c>
      <c r="H246" s="41">
        <f t="shared" si="5"/>
        <v>1538671</v>
      </c>
      <c r="I246" s="41">
        <f t="shared" si="5"/>
        <v>11998</v>
      </c>
      <c r="J246" s="41">
        <f t="shared" si="5"/>
        <v>7352</v>
      </c>
      <c r="K246" s="41">
        <f t="shared" si="5"/>
        <v>0</v>
      </c>
      <c r="L246" s="41">
        <f t="shared" si="5"/>
        <v>1598006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1564270</v>
      </c>
      <c r="G256" s="41">
        <f t="shared" si="8"/>
        <v>792027</v>
      </c>
      <c r="H256" s="41">
        <f t="shared" si="8"/>
        <v>3055640</v>
      </c>
      <c r="I256" s="41">
        <f t="shared" si="8"/>
        <v>214298</v>
      </c>
      <c r="J256" s="41">
        <f t="shared" si="8"/>
        <v>38398</v>
      </c>
      <c r="K256" s="41">
        <f t="shared" si="8"/>
        <v>3642</v>
      </c>
      <c r="L256" s="41">
        <f t="shared" si="8"/>
        <v>5668275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8208</v>
      </c>
      <c r="L262" s="19">
        <f>SUM(F262:K262)</f>
        <v>8208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15000</v>
      </c>
      <c r="L265" s="19">
        <f t="shared" si="9"/>
        <v>15000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23208</v>
      </c>
      <c r="L269" s="41">
        <f t="shared" si="9"/>
        <v>23208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1564270</v>
      </c>
      <c r="G270" s="42">
        <f t="shared" si="11"/>
        <v>792027</v>
      </c>
      <c r="H270" s="42">
        <f t="shared" si="11"/>
        <v>3055640</v>
      </c>
      <c r="I270" s="42">
        <f t="shared" si="11"/>
        <v>214298</v>
      </c>
      <c r="J270" s="42">
        <f t="shared" si="11"/>
        <v>38398</v>
      </c>
      <c r="K270" s="42">
        <f t="shared" si="11"/>
        <v>26850</v>
      </c>
      <c r="L270" s="42">
        <f t="shared" si="11"/>
        <v>5691483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19097</v>
      </c>
      <c r="G275" s="18">
        <v>1480</v>
      </c>
      <c r="H275" s="18"/>
      <c r="I275" s="18">
        <v>211</v>
      </c>
      <c r="J275" s="18"/>
      <c r="K275" s="18"/>
      <c r="L275" s="19">
        <f>SUM(F275:K275)</f>
        <v>20788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38597</v>
      </c>
      <c r="G276" s="18">
        <v>5088</v>
      </c>
      <c r="H276" s="18">
        <v>62</v>
      </c>
      <c r="I276" s="18">
        <v>428</v>
      </c>
      <c r="J276" s="18"/>
      <c r="K276" s="18"/>
      <c r="L276" s="19">
        <f>SUM(F276:K276)</f>
        <v>44175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58898</v>
      </c>
      <c r="G278" s="18">
        <v>6031</v>
      </c>
      <c r="H278" s="18">
        <f>1423+2334</f>
        <v>3757</v>
      </c>
      <c r="I278" s="18">
        <v>2341</v>
      </c>
      <c r="J278" s="18"/>
      <c r="K278" s="18"/>
      <c r="L278" s="19">
        <f>SUM(F278:K278)</f>
        <v>71027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2250</v>
      </c>
      <c r="G281" s="18">
        <v>424</v>
      </c>
      <c r="H281" s="18">
        <f>6974+2883+6638</f>
        <v>16495</v>
      </c>
      <c r="I281" s="18">
        <v>66</v>
      </c>
      <c r="J281" s="18"/>
      <c r="K281" s="18"/>
      <c r="L281" s="19">
        <f t="shared" si="12"/>
        <v>19235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6240</v>
      </c>
      <c r="L282" s="19">
        <f t="shared" si="12"/>
        <v>6240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4735</v>
      </c>
      <c r="G286" s="18">
        <v>620</v>
      </c>
      <c r="H286" s="18">
        <v>4350</v>
      </c>
      <c r="I286" s="18"/>
      <c r="J286" s="18"/>
      <c r="K286" s="18"/>
      <c r="L286" s="19">
        <f t="shared" si="12"/>
        <v>9705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123577</v>
      </c>
      <c r="G289" s="42">
        <f t="shared" si="13"/>
        <v>13643</v>
      </c>
      <c r="H289" s="42">
        <f t="shared" si="13"/>
        <v>24664</v>
      </c>
      <c r="I289" s="42">
        <f t="shared" si="13"/>
        <v>3046</v>
      </c>
      <c r="J289" s="42">
        <f t="shared" si="13"/>
        <v>0</v>
      </c>
      <c r="K289" s="42">
        <f t="shared" si="13"/>
        <v>6240</v>
      </c>
      <c r="L289" s="41">
        <f t="shared" si="13"/>
        <v>171170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123577</v>
      </c>
      <c r="G337" s="41">
        <f t="shared" si="20"/>
        <v>13643</v>
      </c>
      <c r="H337" s="41">
        <f t="shared" si="20"/>
        <v>24664</v>
      </c>
      <c r="I337" s="41">
        <f t="shared" si="20"/>
        <v>3046</v>
      </c>
      <c r="J337" s="41">
        <f t="shared" si="20"/>
        <v>0</v>
      </c>
      <c r="K337" s="41">
        <f t="shared" si="20"/>
        <v>6240</v>
      </c>
      <c r="L337" s="41">
        <f t="shared" si="20"/>
        <v>171170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123577</v>
      </c>
      <c r="G351" s="41">
        <f>G337</f>
        <v>13643</v>
      </c>
      <c r="H351" s="41">
        <f>H337</f>
        <v>24664</v>
      </c>
      <c r="I351" s="41">
        <f>I337</f>
        <v>3046</v>
      </c>
      <c r="J351" s="41">
        <f>J337</f>
        <v>0</v>
      </c>
      <c r="K351" s="47">
        <f>K337+K350</f>
        <v>6240</v>
      </c>
      <c r="L351" s="41">
        <f>L337+L350</f>
        <v>171170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62395</v>
      </c>
      <c r="G357" s="18">
        <v>21641</v>
      </c>
      <c r="H357" s="18">
        <v>1691</v>
      </c>
      <c r="I357" s="18">
        <v>45584</v>
      </c>
      <c r="J357" s="18">
        <v>700</v>
      </c>
      <c r="K357" s="18"/>
      <c r="L357" s="13">
        <f>SUM(F357:K357)</f>
        <v>132011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62395</v>
      </c>
      <c r="G361" s="47">
        <f t="shared" si="22"/>
        <v>21641</v>
      </c>
      <c r="H361" s="47">
        <f t="shared" si="22"/>
        <v>1691</v>
      </c>
      <c r="I361" s="47">
        <f t="shared" si="22"/>
        <v>45584</v>
      </c>
      <c r="J361" s="47">
        <f t="shared" si="22"/>
        <v>700</v>
      </c>
      <c r="K361" s="47">
        <f t="shared" si="22"/>
        <v>0</v>
      </c>
      <c r="L361" s="47">
        <f t="shared" si="22"/>
        <v>132011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40855</v>
      </c>
      <c r="G366" s="18"/>
      <c r="H366" s="18"/>
      <c r="I366" s="56">
        <f>SUM(F366:H366)</f>
        <v>40855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4729</v>
      </c>
      <c r="G367" s="63"/>
      <c r="H367" s="63"/>
      <c r="I367" s="56">
        <f>SUM(F367:H367)</f>
        <v>4729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45584</v>
      </c>
      <c r="G368" s="47">
        <f>SUM(G366:G367)</f>
        <v>0</v>
      </c>
      <c r="H368" s="47">
        <f>SUM(H366:H367)</f>
        <v>0</v>
      </c>
      <c r="I368" s="47">
        <f>SUM(I366:I367)</f>
        <v>45584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10000</v>
      </c>
      <c r="H388" s="18"/>
      <c r="I388" s="18"/>
      <c r="J388" s="24" t="s">
        <v>289</v>
      </c>
      <c r="K388" s="24" t="s">
        <v>289</v>
      </c>
      <c r="L388" s="56">
        <f t="shared" si="25"/>
        <v>10000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>
        <v>5000</v>
      </c>
      <c r="H389" s="18"/>
      <c r="I389" s="18"/>
      <c r="J389" s="24" t="s">
        <v>289</v>
      </c>
      <c r="K389" s="24" t="s">
        <v>289</v>
      </c>
      <c r="L389" s="56">
        <f t="shared" si="25"/>
        <v>5000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15000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15000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15000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15000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>
        <v>160462</v>
      </c>
      <c r="H439" s="18"/>
      <c r="I439" s="56">
        <f t="shared" si="33"/>
        <v>160462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160462</v>
      </c>
      <c r="H445" s="13">
        <f>SUM(H438:H444)</f>
        <v>0</v>
      </c>
      <c r="I445" s="13">
        <f>SUM(I438:I444)</f>
        <v>160462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160462</v>
      </c>
      <c r="H458" s="18"/>
      <c r="I458" s="56">
        <f t="shared" si="34"/>
        <v>160462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160462</v>
      </c>
      <c r="H459" s="83">
        <f>SUM(H453:H458)</f>
        <v>0</v>
      </c>
      <c r="I459" s="83">
        <f>SUM(I453:I458)</f>
        <v>160462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160462</v>
      </c>
      <c r="H460" s="42">
        <f>H451+H459</f>
        <v>0</v>
      </c>
      <c r="I460" s="42">
        <f>I451+I459</f>
        <v>160462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268426</v>
      </c>
      <c r="G464" s="18">
        <v>0</v>
      </c>
      <c r="H464" s="18">
        <v>0</v>
      </c>
      <c r="I464" s="18"/>
      <c r="J464" s="18">
        <v>145462</v>
      </c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5601268</v>
      </c>
      <c r="G467" s="18">
        <f>G192</f>
        <v>132011</v>
      </c>
      <c r="H467" s="18">
        <f>H192</f>
        <v>171170</v>
      </c>
      <c r="I467" s="18"/>
      <c r="J467" s="18">
        <f>L407</f>
        <v>15000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5601268</v>
      </c>
      <c r="G469" s="53">
        <f>SUM(G467:G468)</f>
        <v>132011</v>
      </c>
      <c r="H469" s="53">
        <f>SUM(H467:H468)</f>
        <v>171170</v>
      </c>
      <c r="I469" s="53">
        <f>SUM(I467:I468)</f>
        <v>0</v>
      </c>
      <c r="J469" s="53">
        <f>SUM(J467:J468)</f>
        <v>15000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5691483</v>
      </c>
      <c r="G471" s="18">
        <f>L361</f>
        <v>132011</v>
      </c>
      <c r="H471" s="18">
        <f>L351</f>
        <v>171170</v>
      </c>
      <c r="I471" s="18"/>
      <c r="J471" s="18">
        <v>0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5691483</v>
      </c>
      <c r="G473" s="53">
        <f>SUM(G471:G472)</f>
        <v>132011</v>
      </c>
      <c r="H473" s="53">
        <f>SUM(H471:H472)</f>
        <v>171170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178211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160462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210411</v>
      </c>
      <c r="G520" s="18">
        <v>116254</v>
      </c>
      <c r="H520" s="18">
        <v>70881</v>
      </c>
      <c r="I520" s="18">
        <v>1079</v>
      </c>
      <c r="J520" s="18">
        <f>J197</f>
        <v>0</v>
      </c>
      <c r="K520" s="18">
        <f>K197</f>
        <v>0</v>
      </c>
      <c r="L520" s="88">
        <f>SUM(F520:K520)</f>
        <v>398625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v>52773</v>
      </c>
      <c r="I521" s="18"/>
      <c r="J521" s="18"/>
      <c r="K521" s="18"/>
      <c r="L521" s="88">
        <f>SUM(F521:K521)</f>
        <v>52773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93388</v>
      </c>
      <c r="I522" s="18"/>
      <c r="J522" s="18"/>
      <c r="K522" s="18"/>
      <c r="L522" s="88">
        <f>SUM(F522:K522)</f>
        <v>93388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210411</v>
      </c>
      <c r="G523" s="108">
        <f t="shared" ref="G523:L523" si="36">SUM(G520:G522)</f>
        <v>116254</v>
      </c>
      <c r="H523" s="108">
        <f t="shared" si="36"/>
        <v>217042</v>
      </c>
      <c r="I523" s="108">
        <f t="shared" si="36"/>
        <v>1079</v>
      </c>
      <c r="J523" s="108">
        <f t="shared" si="36"/>
        <v>0</v>
      </c>
      <c r="K523" s="108">
        <f t="shared" si="36"/>
        <v>0</v>
      </c>
      <c r="L523" s="89">
        <f t="shared" si="36"/>
        <v>544786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55867</v>
      </c>
      <c r="G525" s="18">
        <v>31038</v>
      </c>
      <c r="H525" s="18">
        <v>39825</v>
      </c>
      <c r="I525" s="18">
        <v>609</v>
      </c>
      <c r="J525" s="18">
        <f>J201</f>
        <v>207</v>
      </c>
      <c r="K525" s="18">
        <v>0</v>
      </c>
      <c r="L525" s="88">
        <f>SUM(F525:K525)</f>
        <v>127546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55867</v>
      </c>
      <c r="G528" s="89">
        <f t="shared" ref="G528:L528" si="37">SUM(G525:G527)</f>
        <v>31038</v>
      </c>
      <c r="H528" s="89">
        <f t="shared" si="37"/>
        <v>39825</v>
      </c>
      <c r="I528" s="89">
        <f t="shared" si="37"/>
        <v>609</v>
      </c>
      <c r="J528" s="89">
        <f t="shared" si="37"/>
        <v>207</v>
      </c>
      <c r="K528" s="89">
        <f t="shared" si="37"/>
        <v>0</v>
      </c>
      <c r="L528" s="89">
        <f t="shared" si="37"/>
        <v>127546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52948</v>
      </c>
      <c r="G530" s="18">
        <v>12605</v>
      </c>
      <c r="H530" s="18">
        <v>1690</v>
      </c>
      <c r="I530" s="18">
        <v>0</v>
      </c>
      <c r="J530" s="18">
        <v>0</v>
      </c>
      <c r="K530" s="18">
        <v>452</v>
      </c>
      <c r="L530" s="88">
        <f>SUM(F530:K530)</f>
        <v>67695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52948</v>
      </c>
      <c r="G533" s="89">
        <f t="shared" ref="G533:L533" si="38">SUM(G530:G532)</f>
        <v>12605</v>
      </c>
      <c r="H533" s="89">
        <f t="shared" si="38"/>
        <v>1690</v>
      </c>
      <c r="I533" s="89">
        <f t="shared" si="38"/>
        <v>0</v>
      </c>
      <c r="J533" s="89">
        <f t="shared" si="38"/>
        <v>0</v>
      </c>
      <c r="K533" s="89">
        <f t="shared" si="38"/>
        <v>452</v>
      </c>
      <c r="L533" s="89">
        <f t="shared" si="38"/>
        <v>67695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8028</v>
      </c>
      <c r="G540" s="18">
        <f>621+90</f>
        <v>711</v>
      </c>
      <c r="H540" s="18">
        <v>2408</v>
      </c>
      <c r="I540" s="18"/>
      <c r="J540" s="18"/>
      <c r="K540" s="18"/>
      <c r="L540" s="88">
        <f>SUM(F540:K540)</f>
        <v>11147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8028</v>
      </c>
      <c r="G543" s="193">
        <f t="shared" ref="G543:L543" si="40">SUM(G540:G542)</f>
        <v>711</v>
      </c>
      <c r="H543" s="193">
        <f t="shared" si="40"/>
        <v>2408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11147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327254</v>
      </c>
      <c r="G544" s="89">
        <f t="shared" ref="G544:L544" si="41">G523+G528+G533+G538+G543</f>
        <v>160608</v>
      </c>
      <c r="H544" s="89">
        <f t="shared" si="41"/>
        <v>260965</v>
      </c>
      <c r="I544" s="89">
        <f t="shared" si="41"/>
        <v>1688</v>
      </c>
      <c r="J544" s="89">
        <f t="shared" si="41"/>
        <v>207</v>
      </c>
      <c r="K544" s="89">
        <f t="shared" si="41"/>
        <v>452</v>
      </c>
      <c r="L544" s="89">
        <f t="shared" si="41"/>
        <v>751174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398625</v>
      </c>
      <c r="G548" s="87">
        <f>L525</f>
        <v>127546</v>
      </c>
      <c r="H548" s="87">
        <f>L530</f>
        <v>67695</v>
      </c>
      <c r="I548" s="87">
        <f>L535</f>
        <v>0</v>
      </c>
      <c r="J548" s="87">
        <f>L540</f>
        <v>11147</v>
      </c>
      <c r="K548" s="87">
        <f>SUM(F548:J548)</f>
        <v>605013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52773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52773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93388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93388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544786</v>
      </c>
      <c r="G551" s="89">
        <f t="shared" si="42"/>
        <v>127546</v>
      </c>
      <c r="H551" s="89">
        <f t="shared" si="42"/>
        <v>67695</v>
      </c>
      <c r="I551" s="89">
        <f t="shared" si="42"/>
        <v>0</v>
      </c>
      <c r="J551" s="89">
        <f t="shared" si="42"/>
        <v>11147</v>
      </c>
      <c r="K551" s="89">
        <f t="shared" si="42"/>
        <v>751174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0</v>
      </c>
      <c r="G574" s="18">
        <v>970794</v>
      </c>
      <c r="H574" s="18">
        <v>1435058</v>
      </c>
      <c r="I574" s="87">
        <f>SUM(F574:H574)</f>
        <v>2405852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>
        <v>52773</v>
      </c>
      <c r="H578" s="18"/>
      <c r="I578" s="87">
        <f t="shared" si="47"/>
        <v>52773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>
        <v>93388</v>
      </c>
      <c r="I581" s="87">
        <f t="shared" si="47"/>
        <v>93388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73089</v>
      </c>
      <c r="I590" s="18">
        <v>30381</v>
      </c>
      <c r="J590" s="18">
        <v>69560</v>
      </c>
      <c r="K590" s="104">
        <f t="shared" ref="K590:K596" si="48">SUM(H590:J590)</f>
        <v>173030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11147</v>
      </c>
      <c r="I591" s="18"/>
      <c r="J591" s="18"/>
      <c r="K591" s="104">
        <f t="shared" si="48"/>
        <v>11147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1505</v>
      </c>
      <c r="I594" s="18"/>
      <c r="J594" s="18"/>
      <c r="K594" s="104">
        <f t="shared" si="48"/>
        <v>1505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85741</v>
      </c>
      <c r="I597" s="108">
        <f>SUM(I590:I596)</f>
        <v>30381</v>
      </c>
      <c r="J597" s="108">
        <f>SUM(J590:J596)</f>
        <v>69560</v>
      </c>
      <c r="K597" s="108">
        <f>SUM(K590:K596)</f>
        <v>185682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38398</v>
      </c>
      <c r="I603" s="18"/>
      <c r="J603" s="18"/>
      <c r="K603" s="104">
        <f>SUM(H603:J603)</f>
        <v>38398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38398</v>
      </c>
      <c r="I604" s="108">
        <f>SUM(I601:I603)</f>
        <v>0</v>
      </c>
      <c r="J604" s="108">
        <f>SUM(J601:J603)</f>
        <v>0</v>
      </c>
      <c r="K604" s="108">
        <f>SUM(K601:K603)</f>
        <v>38398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205208</v>
      </c>
      <c r="H616" s="109">
        <f>SUM(F51)</f>
        <v>205208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15794</v>
      </c>
      <c r="H617" s="109">
        <f>SUM(G51)</f>
        <v>15794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61547</v>
      </c>
      <c r="H618" s="109">
        <f>SUM(H51)</f>
        <v>61547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160462</v>
      </c>
      <c r="H620" s="109">
        <f>SUM(J51)</f>
        <v>160462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178211</v>
      </c>
      <c r="H621" s="109">
        <f>F475</f>
        <v>178211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160462</v>
      </c>
      <c r="H625" s="109">
        <f>J475</f>
        <v>160462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5601268</v>
      </c>
      <c r="H626" s="104">
        <f>SUM(F467)</f>
        <v>5601268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132011</v>
      </c>
      <c r="H627" s="104">
        <f>SUM(G467)</f>
        <v>132011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171170</v>
      </c>
      <c r="H628" s="104">
        <f>SUM(H467)</f>
        <v>171170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15000</v>
      </c>
      <c r="H630" s="104">
        <f>SUM(J467)</f>
        <v>15000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5691483</v>
      </c>
      <c r="H631" s="104">
        <f>SUM(F471)</f>
        <v>5691483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171170</v>
      </c>
      <c r="H632" s="104">
        <f>SUM(H471)</f>
        <v>171170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45584</v>
      </c>
      <c r="H633" s="104">
        <f>I368</f>
        <v>45584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132011</v>
      </c>
      <c r="H634" s="104">
        <f>SUM(G471)</f>
        <v>132011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15000</v>
      </c>
      <c r="H636" s="164">
        <f>SUM(J467)</f>
        <v>15000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160462</v>
      </c>
      <c r="H639" s="104">
        <f>SUM(G460)</f>
        <v>160462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160462</v>
      </c>
      <c r="H641" s="104">
        <f>SUM(I460)</f>
        <v>160462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15000</v>
      </c>
      <c r="H644" s="104">
        <f>G407</f>
        <v>15000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15000</v>
      </c>
      <c r="H645" s="104">
        <f>L407</f>
        <v>15000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185682</v>
      </c>
      <c r="H646" s="104">
        <f>L207+L225+L243</f>
        <v>185682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38398</v>
      </c>
      <c r="H647" s="104">
        <f>(J256+J337)-(J254+J335)</f>
        <v>38398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85741</v>
      </c>
      <c r="H648" s="104">
        <f>H597</f>
        <v>85741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30381</v>
      </c>
      <c r="H649" s="104">
        <f>I597</f>
        <v>30381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69560</v>
      </c>
      <c r="H650" s="104">
        <f>J597</f>
        <v>69560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8208</v>
      </c>
      <c r="H651" s="104">
        <f>K262+K344</f>
        <v>8208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15000</v>
      </c>
      <c r="H654" s="104">
        <f>K265+K346</f>
        <v>15000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3319512</v>
      </c>
      <c r="G659" s="19">
        <f>(L228+L308+L358)</f>
        <v>1053938</v>
      </c>
      <c r="H659" s="19">
        <f>(L246+L327+L359)</f>
        <v>1598006</v>
      </c>
      <c r="I659" s="19">
        <f>SUM(F659:H659)</f>
        <v>5971456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70843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70843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86382</v>
      </c>
      <c r="G661" s="19">
        <f>(L225+L305)-(J225+J305)</f>
        <v>27169</v>
      </c>
      <c r="H661" s="19">
        <f>(L243+L324)-(J243+J324)</f>
        <v>62208</v>
      </c>
      <c r="I661" s="19">
        <f>SUM(F661:H661)</f>
        <v>175759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38398</v>
      </c>
      <c r="G662" s="199">
        <f>SUM(G574:G586)+SUM(I601:I603)+L611</f>
        <v>1023567</v>
      </c>
      <c r="H662" s="199">
        <f>SUM(H574:H586)+SUM(J601:J603)+L612</f>
        <v>1528446</v>
      </c>
      <c r="I662" s="19">
        <f>SUM(F662:H662)</f>
        <v>2590411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3123889</v>
      </c>
      <c r="G663" s="19">
        <f>G659-SUM(G660:G662)</f>
        <v>3202</v>
      </c>
      <c r="H663" s="19">
        <f>H659-SUM(H660:H662)</f>
        <v>7352</v>
      </c>
      <c r="I663" s="19">
        <f>I659-SUM(I660:I662)</f>
        <v>3134443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144.56</v>
      </c>
      <c r="G664" s="248"/>
      <c r="H664" s="248"/>
      <c r="I664" s="19">
        <f>SUM(F664:H664)</f>
        <v>144.56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21609.64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21682.639999999999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>
        <v>-3202</v>
      </c>
      <c r="H668" s="18">
        <v>-7352</v>
      </c>
      <c r="I668" s="19">
        <f>SUM(F668:H668)</f>
        <v>-10554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21609.64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21609.64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" sqref="A1:C5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Madison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926866</v>
      </c>
      <c r="C9" s="229">
        <f>'DOE25'!G196+'DOE25'!G214+'DOE25'!G232+'DOE25'!G275+'DOE25'!G294+'DOE25'!G313</f>
        <v>423093</v>
      </c>
    </row>
    <row r="10" spans="1:3" x14ac:dyDescent="0.2">
      <c r="A10" t="s">
        <v>779</v>
      </c>
      <c r="B10" s="240">
        <f>926866-51524</f>
        <v>875342</v>
      </c>
      <c r="C10" s="240">
        <v>365843</v>
      </c>
    </row>
    <row r="11" spans="1:3" x14ac:dyDescent="0.2">
      <c r="A11" t="s">
        <v>780</v>
      </c>
      <c r="B11" s="240">
        <v>51524</v>
      </c>
      <c r="C11" s="240">
        <v>57250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926866</v>
      </c>
      <c r="C13" s="231">
        <f>SUM(C10:C12)</f>
        <v>423093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249008</v>
      </c>
      <c r="C18" s="229">
        <f>'DOE25'!G197+'DOE25'!G215+'DOE25'!G233+'DOE25'!G276+'DOE25'!G295+'DOE25'!G314</f>
        <v>121342</v>
      </c>
    </row>
    <row r="19" spans="1:3" x14ac:dyDescent="0.2">
      <c r="A19" t="s">
        <v>779</v>
      </c>
      <c r="B19" s="240">
        <v>156866</v>
      </c>
      <c r="C19" s="240">
        <v>83322</v>
      </c>
    </row>
    <row r="20" spans="1:3" x14ac:dyDescent="0.2">
      <c r="A20" t="s">
        <v>780</v>
      </c>
      <c r="B20" s="240">
        <v>92142</v>
      </c>
      <c r="C20" s="240">
        <v>38020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249008</v>
      </c>
      <c r="C22" s="231">
        <f>SUM(C19:C21)</f>
        <v>121342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61098</v>
      </c>
      <c r="C36" s="235">
        <f>'DOE25'!G199+'DOE25'!G217+'DOE25'!G235+'DOE25'!G278+'DOE25'!G297+'DOE25'!G316</f>
        <v>6344</v>
      </c>
    </row>
    <row r="37" spans="1:3" x14ac:dyDescent="0.2">
      <c r="A37" t="s">
        <v>779</v>
      </c>
      <c r="B37" s="240">
        <v>26588</v>
      </c>
      <c r="C37" s="240">
        <v>2215.8200000000002</v>
      </c>
    </row>
    <row r="38" spans="1:3" x14ac:dyDescent="0.2">
      <c r="A38" t="s">
        <v>780</v>
      </c>
      <c r="B38" s="240">
        <v>14962</v>
      </c>
      <c r="C38" s="240">
        <v>1225.94</v>
      </c>
    </row>
    <row r="39" spans="1:3" x14ac:dyDescent="0.2">
      <c r="A39" t="s">
        <v>781</v>
      </c>
      <c r="B39" s="240">
        <v>19548</v>
      </c>
      <c r="C39" s="240">
        <v>2902.24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61098</v>
      </c>
      <c r="C40" s="231">
        <f>SUM(C37:C39)</f>
        <v>6344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Madison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4379438</v>
      </c>
      <c r="D5" s="20">
        <f>SUM('DOE25'!L196:L199)+SUM('DOE25'!L214:L217)+SUM('DOE25'!L232:L235)-F5-G5</f>
        <v>4366011</v>
      </c>
      <c r="E5" s="243"/>
      <c r="F5" s="255">
        <f>SUM('DOE25'!J196:J199)+SUM('DOE25'!J214:J217)+SUM('DOE25'!J232:J235)</f>
        <v>13347</v>
      </c>
      <c r="G5" s="53">
        <f>SUM('DOE25'!K196:K199)+SUM('DOE25'!K214:K217)+SUM('DOE25'!K232:K235)</f>
        <v>80</v>
      </c>
      <c r="H5" s="259"/>
    </row>
    <row r="6" spans="1:9" x14ac:dyDescent="0.2">
      <c r="A6" s="32">
        <v>2100</v>
      </c>
      <c r="B6" t="s">
        <v>801</v>
      </c>
      <c r="C6" s="245">
        <f t="shared" si="0"/>
        <v>242649</v>
      </c>
      <c r="D6" s="20">
        <f>'DOE25'!L201+'DOE25'!L219+'DOE25'!L237-F6-G6</f>
        <v>242134</v>
      </c>
      <c r="E6" s="243"/>
      <c r="F6" s="255">
        <f>'DOE25'!J201+'DOE25'!J219+'DOE25'!J237</f>
        <v>207</v>
      </c>
      <c r="G6" s="53">
        <f>'DOE25'!K201+'DOE25'!K219+'DOE25'!K237</f>
        <v>308</v>
      </c>
      <c r="H6" s="259"/>
    </row>
    <row r="7" spans="1:9" x14ac:dyDescent="0.2">
      <c r="A7" s="32">
        <v>2200</v>
      </c>
      <c r="B7" t="s">
        <v>834</v>
      </c>
      <c r="C7" s="245">
        <f t="shared" si="0"/>
        <v>135529</v>
      </c>
      <c r="D7" s="20">
        <f>'DOE25'!L202+'DOE25'!L220+'DOE25'!L238-F7-G7</f>
        <v>130885</v>
      </c>
      <c r="E7" s="243"/>
      <c r="F7" s="255">
        <f>'DOE25'!J202+'DOE25'!J220+'DOE25'!J238</f>
        <v>4644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150907</v>
      </c>
      <c r="D8" s="243"/>
      <c r="E8" s="20">
        <f>'DOE25'!L203+'DOE25'!L221+'DOE25'!L239-F8-G8-D9-D11</f>
        <v>147897</v>
      </c>
      <c r="F8" s="255">
        <f>'DOE25'!J203+'DOE25'!J221+'DOE25'!J239</f>
        <v>0</v>
      </c>
      <c r="G8" s="53">
        <f>'DOE25'!K203+'DOE25'!K221+'DOE25'!K239</f>
        <v>3010</v>
      </c>
      <c r="H8" s="259"/>
    </row>
    <row r="9" spans="1:9" x14ac:dyDescent="0.2">
      <c r="A9" s="32">
        <v>2310</v>
      </c>
      <c r="B9" t="s">
        <v>818</v>
      </c>
      <c r="C9" s="245">
        <f t="shared" si="0"/>
        <v>41915</v>
      </c>
      <c r="D9" s="244">
        <v>41915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12585</v>
      </c>
      <c r="D10" s="243"/>
      <c r="E10" s="244">
        <v>12585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67695</v>
      </c>
      <c r="D11" s="244">
        <v>67695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228451</v>
      </c>
      <c r="D12" s="20">
        <f>'DOE25'!L204+'DOE25'!L222+'DOE25'!L240-F12-G12</f>
        <v>228129</v>
      </c>
      <c r="E12" s="243"/>
      <c r="F12" s="255">
        <f>'DOE25'!J204+'DOE25'!J222+'DOE25'!J240</f>
        <v>78</v>
      </c>
      <c r="G12" s="53">
        <f>'DOE25'!K204+'DOE25'!K222+'DOE25'!K240</f>
        <v>244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236009</v>
      </c>
      <c r="D14" s="20">
        <f>'DOE25'!L206+'DOE25'!L224+'DOE25'!L242-F14-G14</f>
        <v>235515</v>
      </c>
      <c r="E14" s="243"/>
      <c r="F14" s="255">
        <f>'DOE25'!J206+'DOE25'!J224+'DOE25'!J242</f>
        <v>494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185682</v>
      </c>
      <c r="D15" s="20">
        <f>'DOE25'!L207+'DOE25'!L225+'DOE25'!L243-F15-G15</f>
        <v>166054</v>
      </c>
      <c r="E15" s="243"/>
      <c r="F15" s="255">
        <f>'DOE25'!J207+'DOE25'!J225+'DOE25'!J243</f>
        <v>19628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91156</v>
      </c>
      <c r="D29" s="20">
        <f>'DOE25'!L357+'DOE25'!L358+'DOE25'!L359-'DOE25'!I366-F29-G29</f>
        <v>90456</v>
      </c>
      <c r="E29" s="243"/>
      <c r="F29" s="255">
        <f>'DOE25'!J357+'DOE25'!J358+'DOE25'!J359</f>
        <v>700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171170</v>
      </c>
      <c r="D31" s="20">
        <f>'DOE25'!L289+'DOE25'!L308+'DOE25'!L327+'DOE25'!L332+'DOE25'!L333+'DOE25'!L334-F31-G31</f>
        <v>164930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6240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5733724</v>
      </c>
      <c r="E33" s="246">
        <f>SUM(E5:E31)</f>
        <v>160482</v>
      </c>
      <c r="F33" s="246">
        <f>SUM(F5:F31)</f>
        <v>39098</v>
      </c>
      <c r="G33" s="246">
        <f>SUM(G5:G31)</f>
        <v>9882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160482</v>
      </c>
      <c r="E35" s="249"/>
    </row>
    <row r="36" spans="2:8" ht="12" thickTop="1" x14ac:dyDescent="0.2">
      <c r="B36" t="s">
        <v>815</v>
      </c>
      <c r="D36" s="20">
        <f>D33</f>
        <v>5733724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11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Madison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168159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160462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23486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15794</v>
      </c>
      <c r="E12" s="95">
        <f>'DOE25'!H13</f>
        <v>38061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37049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205208</v>
      </c>
      <c r="D18" s="41">
        <f>SUM(D8:D17)</f>
        <v>15794</v>
      </c>
      <c r="E18" s="41">
        <f>SUM(E8:E17)</f>
        <v>61547</v>
      </c>
      <c r="F18" s="41">
        <f>SUM(F8:F17)</f>
        <v>0</v>
      </c>
      <c r="G18" s="41">
        <f>SUM(G8:G17)</f>
        <v>160462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7692</v>
      </c>
      <c r="D21" s="95">
        <f>'DOE25'!G22</f>
        <v>15794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18692</v>
      </c>
      <c r="D23" s="95">
        <f>'DOE25'!G24</f>
        <v>0</v>
      </c>
      <c r="E23" s="95">
        <f>'DOE25'!H24</f>
        <v>888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613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60659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26997</v>
      </c>
      <c r="D31" s="41">
        <f>SUM(D21:D30)</f>
        <v>15794</v>
      </c>
      <c r="E31" s="41">
        <f>SUM(E21:E30)</f>
        <v>61547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160462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64354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113857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178211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160462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205208</v>
      </c>
      <c r="D50" s="41">
        <f>D49+D31</f>
        <v>15794</v>
      </c>
      <c r="E50" s="41">
        <f>E49+E31</f>
        <v>61547</v>
      </c>
      <c r="F50" s="41">
        <f>F49+F31</f>
        <v>0</v>
      </c>
      <c r="G50" s="41">
        <f>G49+G31</f>
        <v>160462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3924434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26758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4350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155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33212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62323</v>
      </c>
      <c r="D60" s="95">
        <f>SUM('DOE25'!G97:G109)</f>
        <v>37631</v>
      </c>
      <c r="E60" s="95">
        <f>SUM('DOE25'!H97:H109)</f>
        <v>25708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93586</v>
      </c>
      <c r="D61" s="130">
        <f>SUM(D56:D60)</f>
        <v>70843</v>
      </c>
      <c r="E61" s="130">
        <f>SUM(E56:E60)</f>
        <v>25708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4018020</v>
      </c>
      <c r="D62" s="22">
        <f>D55+D61</f>
        <v>70843</v>
      </c>
      <c r="E62" s="22">
        <f>E55+E61</f>
        <v>25708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479843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1070035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1549878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11190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1750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11190</v>
      </c>
      <c r="D77" s="130">
        <f>SUM(D71:D76)</f>
        <v>1750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1561068</v>
      </c>
      <c r="D80" s="130">
        <f>SUM(D78:D79)+D77+D69</f>
        <v>1750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22180</v>
      </c>
      <c r="D87" s="95">
        <f>SUM('DOE25'!G152:G160)</f>
        <v>51210</v>
      </c>
      <c r="E87" s="95">
        <f>SUM('DOE25'!H152:H160)</f>
        <v>145462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22180</v>
      </c>
      <c r="D90" s="131">
        <f>SUM(D84:D89)</f>
        <v>51210</v>
      </c>
      <c r="E90" s="131">
        <f>SUM(E84:E89)</f>
        <v>145462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8208</v>
      </c>
      <c r="E95" s="95">
        <f>'DOE25'!H178</f>
        <v>0</v>
      </c>
      <c r="F95" s="95">
        <f>'DOE25'!I178</f>
        <v>0</v>
      </c>
      <c r="G95" s="95">
        <f>'DOE25'!J178</f>
        <v>15000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8208</v>
      </c>
      <c r="E102" s="86">
        <f>SUM(E92:E101)</f>
        <v>0</v>
      </c>
      <c r="F102" s="86">
        <f>SUM(F92:F101)</f>
        <v>0</v>
      </c>
      <c r="G102" s="86">
        <f>SUM(G92:G101)</f>
        <v>15000</v>
      </c>
    </row>
    <row r="103" spans="1:7" ht="12.75" thickTop="1" thickBot="1" x14ac:dyDescent="0.25">
      <c r="A103" s="33" t="s">
        <v>765</v>
      </c>
      <c r="C103" s="86">
        <f>C62+C80+C90+C102</f>
        <v>5601268</v>
      </c>
      <c r="D103" s="86">
        <f>D62+D80+D90+D102</f>
        <v>132011</v>
      </c>
      <c r="E103" s="86">
        <f>E62+E80+E90+E102</f>
        <v>171170</v>
      </c>
      <c r="F103" s="86">
        <f>F62+F80+F90+F102</f>
        <v>0</v>
      </c>
      <c r="G103" s="86">
        <f>G62+G80+G102</f>
        <v>15000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3829825</v>
      </c>
      <c r="D108" s="24" t="s">
        <v>289</v>
      </c>
      <c r="E108" s="95">
        <f>('DOE25'!L275)+('DOE25'!L294)+('DOE25'!L313)</f>
        <v>20788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544786</v>
      </c>
      <c r="D109" s="24" t="s">
        <v>289</v>
      </c>
      <c r="E109" s="95">
        <f>('DOE25'!L276)+('DOE25'!L295)+('DOE25'!L314)</f>
        <v>44175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4827</v>
      </c>
      <c r="D111" s="24" t="s">
        <v>289</v>
      </c>
      <c r="E111" s="95">
        <f>+('DOE25'!L278)+('DOE25'!L297)+('DOE25'!L316)</f>
        <v>71027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4379438</v>
      </c>
      <c r="D114" s="86">
        <f>SUM(D108:D113)</f>
        <v>0</v>
      </c>
      <c r="E114" s="86">
        <f>SUM(E108:E113)</f>
        <v>135990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242649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135529</v>
      </c>
      <c r="D118" s="24" t="s">
        <v>289</v>
      </c>
      <c r="E118" s="95">
        <f>+('DOE25'!L281)+('DOE25'!L300)+('DOE25'!L319)</f>
        <v>19235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260517</v>
      </c>
      <c r="D119" s="24" t="s">
        <v>289</v>
      </c>
      <c r="E119" s="95">
        <f>+('DOE25'!L282)+('DOE25'!L301)+('DOE25'!L320)</f>
        <v>6240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228451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236009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185682</v>
      </c>
      <c r="D123" s="24" t="s">
        <v>289</v>
      </c>
      <c r="E123" s="95">
        <f>+('DOE25'!L286)+('DOE25'!L305)+('DOE25'!L324)</f>
        <v>9705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132011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1288837</v>
      </c>
      <c r="D127" s="86">
        <f>SUM(D117:D126)</f>
        <v>132011</v>
      </c>
      <c r="E127" s="86">
        <f>SUM(E117:E126)</f>
        <v>35180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8208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15000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23208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5691483</v>
      </c>
      <c r="D144" s="86">
        <f>(D114+D127+D143)</f>
        <v>132011</v>
      </c>
      <c r="E144" s="86">
        <f>(E114+E127+E143)</f>
        <v>171170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Madison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21610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21610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3850613</v>
      </c>
      <c r="D10" s="182">
        <f>ROUND((C10/$C$28)*100,1)</f>
        <v>65.3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588961</v>
      </c>
      <c r="D11" s="182">
        <f>ROUND((C11/$C$28)*100,1)</f>
        <v>10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75854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242649</v>
      </c>
      <c r="D15" s="182">
        <f t="shared" ref="D15:D27" si="0">ROUND((C15/$C$28)*100,1)</f>
        <v>4.0999999999999996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154764</v>
      </c>
      <c r="D16" s="182">
        <f t="shared" si="0"/>
        <v>2.6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266757</v>
      </c>
      <c r="D17" s="182">
        <f t="shared" si="0"/>
        <v>4.5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228451</v>
      </c>
      <c r="D18" s="182">
        <f t="shared" si="0"/>
        <v>3.9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236009</v>
      </c>
      <c r="D20" s="182">
        <f t="shared" si="0"/>
        <v>4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195387</v>
      </c>
      <c r="D21" s="182">
        <f t="shared" si="0"/>
        <v>3.3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61168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5900613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5900613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3924434</v>
      </c>
      <c r="D35" s="182">
        <f t="shared" ref="D35:D40" si="1">ROUND((C35/$C$41)*100,1)</f>
        <v>67.400000000000006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119294</v>
      </c>
      <c r="D36" s="182">
        <f t="shared" si="1"/>
        <v>2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1549878</v>
      </c>
      <c r="D37" s="182">
        <f t="shared" si="1"/>
        <v>26.6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12940</v>
      </c>
      <c r="D38" s="182">
        <f t="shared" si="1"/>
        <v>0.2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218852</v>
      </c>
      <c r="D39" s="182">
        <f t="shared" si="1"/>
        <v>3.8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5825398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5" t="s">
        <v>767</v>
      </c>
      <c r="B2" s="296"/>
      <c r="C2" s="296"/>
      <c r="D2" s="296"/>
      <c r="E2" s="296"/>
      <c r="F2" s="291" t="str">
        <f>'DOE25'!A2</f>
        <v>Madison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1"/>
      <c r="O29" s="211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07"/>
      <c r="AB29" s="207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7"/>
      <c r="AO29" s="207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7"/>
      <c r="BB29" s="207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7"/>
      <c r="BO29" s="207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7"/>
      <c r="CB29" s="207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7"/>
      <c r="CO29" s="207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7"/>
      <c r="DB29" s="207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7"/>
      <c r="DO29" s="207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7"/>
      <c r="EB29" s="207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7"/>
      <c r="EO29" s="207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7"/>
      <c r="FB29" s="207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7"/>
      <c r="FO29" s="207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7"/>
      <c r="GB29" s="207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7"/>
      <c r="GO29" s="207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7"/>
      <c r="HB29" s="207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7"/>
      <c r="HO29" s="207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7"/>
      <c r="IB29" s="207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7"/>
      <c r="IO29" s="207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8"/>
      <c r="B30" s="219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1"/>
      <c r="O30" s="211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07"/>
      <c r="AB30" s="207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7"/>
      <c r="AO30" s="207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7"/>
      <c r="BB30" s="207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7"/>
      <c r="BO30" s="207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7"/>
      <c r="CB30" s="207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7"/>
      <c r="CO30" s="207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7"/>
      <c r="DB30" s="207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7"/>
      <c r="DO30" s="207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7"/>
      <c r="EB30" s="207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7"/>
      <c r="EO30" s="207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7"/>
      <c r="FB30" s="207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7"/>
      <c r="FO30" s="207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7"/>
      <c r="GB30" s="207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7"/>
      <c r="GO30" s="207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7"/>
      <c r="HB30" s="207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7"/>
      <c r="HO30" s="207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7"/>
      <c r="IB30" s="207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7"/>
      <c r="IO30" s="207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8"/>
      <c r="B31" s="219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1"/>
      <c r="O31" s="211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07"/>
      <c r="AB31" s="207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7"/>
      <c r="AO31" s="207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7"/>
      <c r="BB31" s="207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7"/>
      <c r="BO31" s="207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7"/>
      <c r="CB31" s="207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7"/>
      <c r="CO31" s="207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7"/>
      <c r="DB31" s="207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7"/>
      <c r="DO31" s="207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7"/>
      <c r="EB31" s="207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7"/>
      <c r="EO31" s="207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7"/>
      <c r="FB31" s="207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7"/>
      <c r="FO31" s="207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7"/>
      <c r="GB31" s="207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7"/>
      <c r="GO31" s="207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7"/>
      <c r="HB31" s="207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7"/>
      <c r="HO31" s="207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7"/>
      <c r="IB31" s="207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7"/>
      <c r="IO31" s="207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8"/>
      <c r="B32" s="219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8"/>
      <c r="AO32" s="219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8"/>
      <c r="BB32" s="219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8"/>
      <c r="BO32" s="219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8"/>
      <c r="CB32" s="219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8"/>
      <c r="CO32" s="219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8"/>
      <c r="DB32" s="219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8"/>
      <c r="DO32" s="219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8"/>
      <c r="EB32" s="219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8"/>
      <c r="EO32" s="219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8"/>
      <c r="FB32" s="219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8"/>
      <c r="FO32" s="219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8"/>
      <c r="GB32" s="219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8"/>
      <c r="GO32" s="219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8"/>
      <c r="HB32" s="219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8"/>
      <c r="HO32" s="219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8"/>
      <c r="IB32" s="219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8"/>
      <c r="IO32" s="219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8"/>
      <c r="B33" s="219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1"/>
      <c r="O38" s="211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07"/>
      <c r="AB38" s="207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7"/>
      <c r="AO38" s="207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7"/>
      <c r="BB38" s="207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7"/>
      <c r="BO38" s="207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7"/>
      <c r="CB38" s="207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7"/>
      <c r="CO38" s="207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7"/>
      <c r="DB38" s="207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7"/>
      <c r="DO38" s="207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7"/>
      <c r="EB38" s="207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7"/>
      <c r="EO38" s="207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7"/>
      <c r="FB38" s="207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7"/>
      <c r="FO38" s="207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7"/>
      <c r="GB38" s="207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7"/>
      <c r="GO38" s="207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7"/>
      <c r="HB38" s="207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7"/>
      <c r="HO38" s="207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7"/>
      <c r="IB38" s="207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7"/>
      <c r="IO38" s="207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8"/>
      <c r="B39" s="219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1"/>
      <c r="O39" s="211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07"/>
      <c r="AB39" s="207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7"/>
      <c r="AO39" s="207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7"/>
      <c r="BB39" s="207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7"/>
      <c r="BO39" s="207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7"/>
      <c r="CB39" s="207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7"/>
      <c r="CO39" s="207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7"/>
      <c r="DB39" s="207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7"/>
      <c r="DO39" s="207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7"/>
      <c r="EB39" s="207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7"/>
      <c r="EO39" s="207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7"/>
      <c r="FB39" s="207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7"/>
      <c r="FO39" s="207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7"/>
      <c r="GB39" s="207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7"/>
      <c r="GO39" s="207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7"/>
      <c r="HB39" s="207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7"/>
      <c r="HO39" s="207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7"/>
      <c r="IB39" s="207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7"/>
      <c r="IO39" s="207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8"/>
      <c r="B40" s="219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1"/>
      <c r="O40" s="211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07"/>
      <c r="AB40" s="207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7"/>
      <c r="AO40" s="207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7"/>
      <c r="BB40" s="207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7"/>
      <c r="BO40" s="207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7"/>
      <c r="CB40" s="207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7"/>
      <c r="CO40" s="207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7"/>
      <c r="DB40" s="207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7"/>
      <c r="DO40" s="207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7"/>
      <c r="EB40" s="207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7"/>
      <c r="EO40" s="207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7"/>
      <c r="FB40" s="207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7"/>
      <c r="FO40" s="207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7"/>
      <c r="GB40" s="207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7"/>
      <c r="GO40" s="207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7"/>
      <c r="HB40" s="207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7"/>
      <c r="HO40" s="207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7"/>
      <c r="IB40" s="207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7"/>
      <c r="IO40" s="207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8"/>
      <c r="B41" s="219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8"/>
      <c r="B60" s="219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8"/>
      <c r="B61" s="219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8"/>
      <c r="B62" s="219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8"/>
      <c r="B63" s="219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8"/>
      <c r="B64" s="219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8"/>
      <c r="B65" s="219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8"/>
      <c r="B66" s="219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8"/>
      <c r="B67" s="219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8"/>
      <c r="B68" s="219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8"/>
      <c r="B69" s="219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0"/>
      <c r="B70" s="221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IP40:IV40"/>
    <mergeCell ref="C45:M45"/>
    <mergeCell ref="HP40:HZ40"/>
    <mergeCell ref="IC40:IM40"/>
    <mergeCell ref="FC40:FM40"/>
    <mergeCell ref="FP40:FZ40"/>
    <mergeCell ref="CP40:CZ40"/>
    <mergeCell ref="DC40:DM40"/>
    <mergeCell ref="EP40:EZ40"/>
    <mergeCell ref="CC40:CM40"/>
    <mergeCell ref="BP40:BZ40"/>
    <mergeCell ref="AP40:AZ40"/>
    <mergeCell ref="GC40:GM40"/>
    <mergeCell ref="GP40:GZ40"/>
    <mergeCell ref="HC40:HM40"/>
    <mergeCell ref="EC40:EM40"/>
    <mergeCell ref="C44:M44"/>
    <mergeCell ref="DP40:DZ40"/>
    <mergeCell ref="C43:M43"/>
    <mergeCell ref="BC40:BM40"/>
    <mergeCell ref="IP30:IV30"/>
    <mergeCell ref="FP32:FZ32"/>
    <mergeCell ref="GC32:GM32"/>
    <mergeCell ref="AP39:AZ39"/>
    <mergeCell ref="HP39:HZ39"/>
    <mergeCell ref="IC38:IM38"/>
    <mergeCell ref="IP38:IV38"/>
    <mergeCell ref="CP38:CZ38"/>
    <mergeCell ref="BC38:BM38"/>
    <mergeCell ref="IP39:IV39"/>
    <mergeCell ref="GP39:GZ39"/>
    <mergeCell ref="HC38:HM38"/>
    <mergeCell ref="CP39:CZ39"/>
    <mergeCell ref="HC39:HM39"/>
    <mergeCell ref="DC39:DM39"/>
    <mergeCell ref="DP39:DZ39"/>
    <mergeCell ref="EC39:EM39"/>
    <mergeCell ref="GC39:GM39"/>
    <mergeCell ref="EP39:EZ39"/>
    <mergeCell ref="FC39:FM39"/>
    <mergeCell ref="FP39:FZ39"/>
    <mergeCell ref="IC39:IM39"/>
    <mergeCell ref="IC32:IM32"/>
    <mergeCell ref="IP32:IV32"/>
    <mergeCell ref="EP38:EZ38"/>
    <mergeCell ref="FC38:FM38"/>
    <mergeCell ref="FP38:FZ38"/>
    <mergeCell ref="GC38:GM38"/>
    <mergeCell ref="GP38:GZ38"/>
    <mergeCell ref="EP32:EZ32"/>
    <mergeCell ref="IC31:IM31"/>
    <mergeCell ref="IP31:IV31"/>
    <mergeCell ref="CP31:CZ31"/>
    <mergeCell ref="DP38:DZ38"/>
    <mergeCell ref="EC38:EM38"/>
    <mergeCell ref="DC38:DM38"/>
    <mergeCell ref="HP31:HZ31"/>
    <mergeCell ref="HP38:HZ38"/>
    <mergeCell ref="HP32:HZ32"/>
    <mergeCell ref="GP32:GZ32"/>
    <mergeCell ref="GP31:GZ31"/>
    <mergeCell ref="CP32:CZ32"/>
    <mergeCell ref="DC31:DM31"/>
    <mergeCell ref="DP31:DZ31"/>
    <mergeCell ref="EC31:EM31"/>
    <mergeCell ref="DC32:DM32"/>
    <mergeCell ref="DP32:DZ32"/>
    <mergeCell ref="EP31:EZ31"/>
    <mergeCell ref="FC32:FM32"/>
    <mergeCell ref="HC31:HM31"/>
    <mergeCell ref="FC31:FM31"/>
    <mergeCell ref="FP31:FZ31"/>
    <mergeCell ref="GC31:GM31"/>
    <mergeCell ref="EC32:EM32"/>
    <mergeCell ref="HC32:HM32"/>
    <mergeCell ref="BC31:BM31"/>
    <mergeCell ref="BC32:BM32"/>
    <mergeCell ref="BC39:BM39"/>
    <mergeCell ref="BP31:BZ31"/>
    <mergeCell ref="BP38:BZ38"/>
    <mergeCell ref="CC38:CM38"/>
    <mergeCell ref="CC31:CM31"/>
    <mergeCell ref="BP32:BZ32"/>
    <mergeCell ref="BP39:BZ39"/>
    <mergeCell ref="CC39:CM39"/>
    <mergeCell ref="CC32:CM32"/>
    <mergeCell ref="FC29:FM29"/>
    <mergeCell ref="CP29:CZ29"/>
    <mergeCell ref="IC30:IM30"/>
    <mergeCell ref="DP29:DZ29"/>
    <mergeCell ref="DC30:DM30"/>
    <mergeCell ref="DP30:DZ30"/>
    <mergeCell ref="HC30:HM30"/>
    <mergeCell ref="GP30:GZ30"/>
    <mergeCell ref="FP29:FZ29"/>
    <mergeCell ref="GC29:GM29"/>
    <mergeCell ref="GP29:GZ29"/>
    <mergeCell ref="HP29:HZ29"/>
    <mergeCell ref="IC29:IM29"/>
    <mergeCell ref="HC29:HM29"/>
    <mergeCell ref="HP30:HZ30"/>
    <mergeCell ref="EC30:EM30"/>
    <mergeCell ref="EP30:EZ30"/>
    <mergeCell ref="FC30:FM30"/>
    <mergeCell ref="FP30:FZ30"/>
    <mergeCell ref="GC30:GM30"/>
    <mergeCell ref="IP29:IV29"/>
    <mergeCell ref="AP30:AZ30"/>
    <mergeCell ref="C41:M41"/>
    <mergeCell ref="C33:M33"/>
    <mergeCell ref="C37:M37"/>
    <mergeCell ref="C38:M38"/>
    <mergeCell ref="C32:M32"/>
    <mergeCell ref="C34:M34"/>
    <mergeCell ref="AP38:AZ38"/>
    <mergeCell ref="P39:Z39"/>
    <mergeCell ref="AC39:AM39"/>
    <mergeCell ref="CC30:CM30"/>
    <mergeCell ref="BC30:BM30"/>
    <mergeCell ref="BP30:BZ30"/>
    <mergeCell ref="AP31:AZ31"/>
    <mergeCell ref="AP32:AZ32"/>
    <mergeCell ref="DC29:DM29"/>
    <mergeCell ref="AP29:AZ29"/>
    <mergeCell ref="BP29:BZ29"/>
    <mergeCell ref="CC29:CM29"/>
    <mergeCell ref="BC29:BM29"/>
    <mergeCell ref="CP30:CZ30"/>
    <mergeCell ref="EC29:EM29"/>
    <mergeCell ref="EP29:EZ29"/>
    <mergeCell ref="P30:Z30"/>
    <mergeCell ref="AC30:AM30"/>
    <mergeCell ref="P38:Z38"/>
    <mergeCell ref="AC38:AM38"/>
    <mergeCell ref="P40:Z40"/>
    <mergeCell ref="AC40:AM40"/>
    <mergeCell ref="P31:Z31"/>
    <mergeCell ref="AC31:AM31"/>
    <mergeCell ref="P32:Z32"/>
    <mergeCell ref="AC32:AM32"/>
    <mergeCell ref="P29:Z29"/>
    <mergeCell ref="AC29:A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20:M20"/>
    <mergeCell ref="C12:M12"/>
    <mergeCell ref="C14:M14"/>
    <mergeCell ref="C15:M15"/>
    <mergeCell ref="C16:M16"/>
    <mergeCell ref="C17:M17"/>
    <mergeCell ref="C27:M27"/>
    <mergeCell ref="C21:M21"/>
    <mergeCell ref="C22:M22"/>
    <mergeCell ref="C18:M18"/>
    <mergeCell ref="C19:M19"/>
    <mergeCell ref="C23:M23"/>
    <mergeCell ref="C24:M24"/>
    <mergeCell ref="A1:I1"/>
    <mergeCell ref="C3:M3"/>
    <mergeCell ref="C4:M4"/>
    <mergeCell ref="F2:I2"/>
    <mergeCell ref="C42:M42"/>
    <mergeCell ref="C35:M35"/>
    <mergeCell ref="C30:M30"/>
    <mergeCell ref="C31:M31"/>
    <mergeCell ref="C29:M29"/>
    <mergeCell ref="C25:M25"/>
    <mergeCell ref="C26:M26"/>
    <mergeCell ref="C28:M28"/>
    <mergeCell ref="C68:M68"/>
    <mergeCell ref="C69:M69"/>
    <mergeCell ref="C62:M62"/>
    <mergeCell ref="C39:M39"/>
    <mergeCell ref="C40:M40"/>
    <mergeCell ref="C47:M47"/>
    <mergeCell ref="C48:M48"/>
    <mergeCell ref="C36:M36"/>
    <mergeCell ref="C61:M61"/>
    <mergeCell ref="C65:M65"/>
    <mergeCell ref="C56:M56"/>
    <mergeCell ref="C46:M46"/>
    <mergeCell ref="C49:M49"/>
    <mergeCell ref="C51:M51"/>
    <mergeCell ref="C52:M52"/>
    <mergeCell ref="C50:M50"/>
    <mergeCell ref="C63:M63"/>
    <mergeCell ref="C64:M64"/>
    <mergeCell ref="C66:M66"/>
    <mergeCell ref="C53:M53"/>
    <mergeCell ref="C54:M54"/>
    <mergeCell ref="C55:M55"/>
    <mergeCell ref="C60:M60"/>
    <mergeCell ref="C58:M58"/>
    <mergeCell ref="C57:M57"/>
    <mergeCell ref="C59:M59"/>
    <mergeCell ref="C89:M89"/>
    <mergeCell ref="C90:M90"/>
    <mergeCell ref="C76:M76"/>
    <mergeCell ref="C88:M88"/>
    <mergeCell ref="C70:M70"/>
    <mergeCell ref="A72:E72"/>
    <mergeCell ref="C83:M83"/>
    <mergeCell ref="C84:M84"/>
    <mergeCell ref="C85:M85"/>
    <mergeCell ref="C86:M86"/>
    <mergeCell ref="C87:M87"/>
    <mergeCell ref="C77:M77"/>
    <mergeCell ref="C78:M78"/>
    <mergeCell ref="C79:M79"/>
    <mergeCell ref="C80:M80"/>
    <mergeCell ref="C73:M73"/>
    <mergeCell ref="C74:M74"/>
    <mergeCell ref="C81:M81"/>
    <mergeCell ref="C82:M82"/>
    <mergeCell ref="C75:M75"/>
    <mergeCell ref="C67:M67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2013-11-05T19:13:04Z</cp:lastPrinted>
  <dcterms:created xsi:type="dcterms:W3CDTF">1997-12-04T19:04:30Z</dcterms:created>
  <dcterms:modified xsi:type="dcterms:W3CDTF">2013-11-25T18:42:32Z</dcterms:modified>
</cp:coreProperties>
</file>