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42" i="1" l="1"/>
  <c r="H541" i="1"/>
  <c r="H540" i="1"/>
  <c r="C19" i="12" l="1"/>
  <c r="C10" i="12"/>
  <c r="G233" i="1" l="1"/>
  <c r="G232" i="1"/>
  <c r="G215" i="1"/>
  <c r="G214" i="1"/>
  <c r="G197" i="1"/>
  <c r="G196" i="1"/>
  <c r="H201" i="1" l="1"/>
  <c r="H219" i="1"/>
  <c r="H237" i="1"/>
  <c r="H359" i="1" l="1"/>
  <c r="H358" i="1"/>
  <c r="H357" i="1"/>
  <c r="H242" i="1" l="1"/>
  <c r="H224" i="1"/>
  <c r="H206" i="1"/>
  <c r="G522" i="1" l="1"/>
  <c r="G521" i="1"/>
  <c r="G520" i="1"/>
  <c r="B20" i="12" l="1"/>
  <c r="B28" i="12"/>
  <c r="B19" i="12"/>
  <c r="B10" i="12"/>
  <c r="H612" i="1" l="1"/>
  <c r="H611" i="1"/>
  <c r="H610" i="1"/>
  <c r="H101" i="1" l="1"/>
  <c r="H160" i="1"/>
  <c r="G157" i="1"/>
  <c r="G96" i="1"/>
  <c r="G30" i="1" l="1"/>
  <c r="G9" i="1" l="1"/>
  <c r="G359" i="1"/>
  <c r="I359" i="1"/>
  <c r="I357" i="1"/>
  <c r="F359" i="1"/>
  <c r="I358" i="1"/>
  <c r="G358" i="1"/>
  <c r="F358" i="1"/>
  <c r="G357" i="1"/>
  <c r="F357" i="1"/>
  <c r="J357" i="1"/>
  <c r="J358" i="1"/>
  <c r="H581" i="1" l="1"/>
  <c r="H578" i="1"/>
  <c r="G578" i="1"/>
  <c r="F578" i="1"/>
  <c r="J603" i="1"/>
  <c r="I603" i="1"/>
  <c r="H603" i="1"/>
  <c r="H532" i="1" l="1"/>
  <c r="H531" i="1"/>
  <c r="H530" i="1"/>
  <c r="I522" i="1" l="1"/>
  <c r="I521" i="1"/>
  <c r="I520" i="1"/>
  <c r="H522" i="1"/>
  <c r="H521" i="1"/>
  <c r="H520" i="1"/>
  <c r="F522" i="1"/>
  <c r="F521" i="1"/>
  <c r="F520" i="1"/>
  <c r="I527" i="1" l="1"/>
  <c r="I526" i="1"/>
  <c r="I525" i="1"/>
  <c r="H527" i="1"/>
  <c r="H526" i="1"/>
  <c r="H525" i="1"/>
  <c r="G527" i="1"/>
  <c r="G526" i="1"/>
  <c r="G525" i="1"/>
  <c r="F527" i="1"/>
  <c r="F526" i="1"/>
  <c r="F525" i="1"/>
  <c r="K520" i="1"/>
  <c r="J522" i="1"/>
  <c r="J521" i="1"/>
  <c r="J520" i="1"/>
  <c r="I563" i="1" l="1"/>
  <c r="H563" i="1"/>
  <c r="G563" i="1"/>
  <c r="F563" i="1"/>
  <c r="H562" i="1"/>
  <c r="G562" i="1"/>
  <c r="F562" i="1"/>
  <c r="I561" i="1"/>
  <c r="H561" i="1"/>
  <c r="G561" i="1"/>
  <c r="F561" i="1"/>
  <c r="J563" i="1"/>
  <c r="I562" i="1"/>
  <c r="J561" i="1"/>
  <c r="J557" i="1"/>
  <c r="I557" i="1"/>
  <c r="H557" i="1"/>
  <c r="G557" i="1"/>
  <c r="F557" i="1"/>
  <c r="K556" i="1"/>
  <c r="J556" i="1"/>
  <c r="I556" i="1"/>
  <c r="H556" i="1"/>
  <c r="G556" i="1"/>
  <c r="F556" i="1"/>
  <c r="K557" i="1"/>
  <c r="F29" i="1" l="1"/>
  <c r="F28" i="1"/>
  <c r="F9" i="1"/>
  <c r="F109" i="1" l="1"/>
  <c r="F67" i="1"/>
  <c r="K232" i="1" l="1"/>
  <c r="I196" i="1"/>
  <c r="H196" i="1"/>
  <c r="F196" i="1"/>
  <c r="F207" i="1"/>
  <c r="F225" i="1"/>
  <c r="J591" i="1"/>
  <c r="I591" i="1"/>
  <c r="J590" i="1"/>
  <c r="I590" i="1"/>
  <c r="H591" i="1"/>
  <c r="H590" i="1"/>
  <c r="H243" i="1"/>
  <c r="H225" i="1"/>
  <c r="H207" i="1"/>
  <c r="H235" i="1" l="1"/>
  <c r="H217" i="1"/>
  <c r="H232" i="1"/>
  <c r="J244" i="1"/>
  <c r="I244" i="1"/>
  <c r="H244" i="1"/>
  <c r="J226" i="1"/>
  <c r="I226" i="1"/>
  <c r="H226" i="1"/>
  <c r="J208" i="1"/>
  <c r="I208" i="1"/>
  <c r="H208" i="1"/>
  <c r="I242" i="1"/>
  <c r="I224" i="1"/>
  <c r="I206" i="1"/>
  <c r="K240" i="1"/>
  <c r="I240" i="1"/>
  <c r="H240" i="1"/>
  <c r="G240" i="1"/>
  <c r="F240" i="1"/>
  <c r="K222" i="1"/>
  <c r="J222" i="1"/>
  <c r="H222" i="1"/>
  <c r="G222" i="1"/>
  <c r="F222" i="1"/>
  <c r="I204" i="1"/>
  <c r="H204" i="1"/>
  <c r="G204" i="1"/>
  <c r="F204" i="1"/>
  <c r="H221" i="1"/>
  <c r="I238" i="1"/>
  <c r="H238" i="1"/>
  <c r="G238" i="1"/>
  <c r="F238" i="1"/>
  <c r="I220" i="1"/>
  <c r="G220" i="1"/>
  <c r="F220" i="1"/>
  <c r="I202" i="1"/>
  <c r="G202" i="1"/>
  <c r="F202" i="1"/>
  <c r="G237" i="1"/>
  <c r="F237" i="1"/>
  <c r="J219" i="1"/>
  <c r="I219" i="1"/>
  <c r="G219" i="1"/>
  <c r="F219" i="1"/>
  <c r="J201" i="1"/>
  <c r="I201" i="1"/>
  <c r="G201" i="1"/>
  <c r="F201" i="1"/>
  <c r="K235" i="1"/>
  <c r="J235" i="1"/>
  <c r="I235" i="1"/>
  <c r="G235" i="1"/>
  <c r="F235" i="1"/>
  <c r="K217" i="1"/>
  <c r="I217" i="1"/>
  <c r="G217" i="1"/>
  <c r="F217" i="1"/>
  <c r="G199" i="1"/>
  <c r="F199" i="1"/>
  <c r="I234" i="1"/>
  <c r="H234" i="1"/>
  <c r="G234" i="1"/>
  <c r="F234" i="1"/>
  <c r="G216" i="1"/>
  <c r="F216" i="1"/>
  <c r="J233" i="1"/>
  <c r="I233" i="1"/>
  <c r="H233" i="1"/>
  <c r="F233" i="1"/>
  <c r="F232" i="1"/>
  <c r="I232" i="1"/>
  <c r="J215" i="1"/>
  <c r="I215" i="1"/>
  <c r="H215" i="1"/>
  <c r="F215" i="1"/>
  <c r="K197" i="1"/>
  <c r="J197" i="1"/>
  <c r="I197" i="1"/>
  <c r="H197" i="1"/>
  <c r="F197" i="1"/>
  <c r="I214" i="1"/>
  <c r="H214" i="1"/>
  <c r="F214" i="1"/>
  <c r="K208" i="1" l="1"/>
  <c r="K205" i="1"/>
  <c r="K203" i="1"/>
  <c r="J206" i="1"/>
  <c r="I205" i="1"/>
  <c r="I203" i="1"/>
  <c r="K199" i="1"/>
  <c r="G198" i="1"/>
  <c r="H205" i="1"/>
  <c r="H203" i="1"/>
  <c r="H202" i="1"/>
  <c r="G208" i="1"/>
  <c r="G207" i="1"/>
  <c r="G205" i="1"/>
  <c r="G203" i="1"/>
  <c r="F208" i="1"/>
  <c r="F205" i="1"/>
  <c r="F203" i="1"/>
  <c r="F198" i="1"/>
  <c r="K244" i="1"/>
  <c r="G244" i="1"/>
  <c r="F244" i="1"/>
  <c r="J242" i="1"/>
  <c r="K241" i="1"/>
  <c r="I241" i="1"/>
  <c r="H241" i="1"/>
  <c r="G241" i="1"/>
  <c r="F241" i="1"/>
  <c r="K239" i="1"/>
  <c r="I239" i="1"/>
  <c r="H239" i="1"/>
  <c r="G239" i="1"/>
  <c r="F239" i="1"/>
  <c r="K233" i="1"/>
  <c r="K226" i="1"/>
  <c r="G226" i="1"/>
  <c r="F226" i="1"/>
  <c r="J224" i="1"/>
  <c r="K223" i="1"/>
  <c r="I223" i="1"/>
  <c r="H223" i="1"/>
  <c r="G223" i="1"/>
  <c r="F223" i="1"/>
  <c r="K221" i="1"/>
  <c r="I221" i="1"/>
  <c r="G221" i="1"/>
  <c r="F221" i="1"/>
  <c r="H220" i="1"/>
  <c r="K215" i="1"/>
  <c r="J594" i="1" l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F49" i="2" s="1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G648" i="1" s="1"/>
  <c r="L225" i="1"/>
  <c r="L243" i="1"/>
  <c r="F17" i="13"/>
  <c r="G17" i="13"/>
  <c r="L250" i="1"/>
  <c r="F18" i="13"/>
  <c r="G18" i="13"/>
  <c r="L251" i="1"/>
  <c r="F19" i="13"/>
  <c r="G19" i="13"/>
  <c r="L252" i="1"/>
  <c r="D19" i="13" s="1"/>
  <c r="C19" i="13" s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E121" i="2" s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E118" i="2" s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C131" i="2" s="1"/>
  <c r="L340" i="1"/>
  <c r="L341" i="1"/>
  <c r="L254" i="1"/>
  <c r="L335" i="1"/>
  <c r="E129" i="2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55" i="2" s="1"/>
  <c r="F78" i="1"/>
  <c r="C56" i="2" s="1"/>
  <c r="F93" i="1"/>
  <c r="F110" i="1"/>
  <c r="G110" i="1"/>
  <c r="G111" i="1" s="1"/>
  <c r="H78" i="1"/>
  <c r="E56" i="2" s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F161" i="1"/>
  <c r="G146" i="1"/>
  <c r="G161" i="1"/>
  <c r="H146" i="1"/>
  <c r="E84" i="2" s="1"/>
  <c r="H161" i="1"/>
  <c r="I146" i="1"/>
  <c r="I161" i="1"/>
  <c r="L249" i="1"/>
  <c r="C112" i="2" s="1"/>
  <c r="L331" i="1"/>
  <c r="E112" i="2" s="1"/>
  <c r="L253" i="1"/>
  <c r="L267" i="1"/>
  <c r="L268" i="1"/>
  <c r="C142" i="2" s="1"/>
  <c r="L348" i="1"/>
  <c r="E141" i="2" s="1"/>
  <c r="L349" i="1"/>
  <c r="I664" i="1"/>
  <c r="I669" i="1"/>
  <c r="F661" i="1"/>
  <c r="I668" i="1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E134" i="2" s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0" i="2"/>
  <c r="K269" i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D49" i="2" s="1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E77" i="2" s="1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D84" i="2"/>
  <c r="D90" i="2" s="1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D114" i="2"/>
  <c r="F114" i="2"/>
  <c r="G114" i="2"/>
  <c r="E122" i="2"/>
  <c r="F127" i="2"/>
  <c r="G127" i="2"/>
  <c r="D133" i="2"/>
  <c r="D143" i="2" s="1"/>
  <c r="F133" i="2"/>
  <c r="K418" i="1"/>
  <c r="K426" i="1"/>
  <c r="K432" i="1"/>
  <c r="L262" i="1"/>
  <c r="C134" i="2" s="1"/>
  <c r="L263" i="1"/>
  <c r="C135" i="2" s="1"/>
  <c r="L264" i="1"/>
  <c r="C136" i="2" s="1"/>
  <c r="E136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G162" i="2" s="1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G618" i="1" s="1"/>
  <c r="I19" i="1"/>
  <c r="G619" i="1" s="1"/>
  <c r="F32" i="1"/>
  <c r="G32" i="1"/>
  <c r="H32" i="1"/>
  <c r="I32" i="1"/>
  <c r="F50" i="1"/>
  <c r="G621" i="1" s="1"/>
  <c r="G50" i="1"/>
  <c r="H50" i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H644" i="1" s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G640" i="1" s="1"/>
  <c r="F451" i="1"/>
  <c r="G451" i="1"/>
  <c r="H451" i="1"/>
  <c r="F459" i="1"/>
  <c r="G459" i="1"/>
  <c r="H459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6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G642" i="1"/>
  <c r="G643" i="1"/>
  <c r="G649" i="1"/>
  <c r="G651" i="1"/>
  <c r="H651" i="1"/>
  <c r="G652" i="1"/>
  <c r="H652" i="1"/>
  <c r="G653" i="1"/>
  <c r="H653" i="1"/>
  <c r="H654" i="1"/>
  <c r="G80" i="2"/>
  <c r="H475" i="1"/>
  <c r="H623" i="1" s="1"/>
  <c r="G475" i="1"/>
  <c r="H622" i="1" s="1"/>
  <c r="H139" i="1"/>
  <c r="H191" i="1"/>
  <c r="G36" i="2"/>
  <c r="C102" i="2" l="1"/>
  <c r="J654" i="1"/>
  <c r="E49" i="2"/>
  <c r="H51" i="1"/>
  <c r="H618" i="1" s="1"/>
  <c r="G51" i="1"/>
  <c r="H617" i="1" s="1"/>
  <c r="E61" i="2"/>
  <c r="F31" i="2"/>
  <c r="D31" i="2"/>
  <c r="D50" i="2" s="1"/>
  <c r="D126" i="2"/>
  <c r="D127" i="2" s="1"/>
  <c r="D144" i="2" s="1"/>
  <c r="D17" i="13"/>
  <c r="C17" i="13" s="1"/>
  <c r="A31" i="12"/>
  <c r="A40" i="12"/>
  <c r="C25" i="10"/>
  <c r="H111" i="1"/>
  <c r="K604" i="1"/>
  <c r="G647" i="1" s="1"/>
  <c r="L533" i="1"/>
  <c r="F61" i="2"/>
  <c r="C18" i="2"/>
  <c r="F22" i="13"/>
  <c r="C22" i="13" s="1"/>
  <c r="C20" i="10"/>
  <c r="I445" i="1"/>
  <c r="G641" i="1" s="1"/>
  <c r="E124" i="2"/>
  <c r="L308" i="1"/>
  <c r="E117" i="2"/>
  <c r="E111" i="2"/>
  <c r="H337" i="1"/>
  <c r="H351" i="1" s="1"/>
  <c r="E109" i="2"/>
  <c r="G337" i="1"/>
  <c r="G351" i="1" s="1"/>
  <c r="E108" i="2"/>
  <c r="E120" i="2"/>
  <c r="J643" i="1"/>
  <c r="I475" i="1"/>
  <c r="H624" i="1" s="1"/>
  <c r="J624" i="1" s="1"/>
  <c r="J475" i="1"/>
  <c r="H625" i="1" s="1"/>
  <c r="H460" i="1"/>
  <c r="H640" i="1" s="1"/>
  <c r="C129" i="2"/>
  <c r="F90" i="2"/>
  <c r="E18" i="2"/>
  <c r="L327" i="1"/>
  <c r="G624" i="1"/>
  <c r="G460" i="1"/>
  <c r="H639" i="1" s="1"/>
  <c r="J639" i="1" s="1"/>
  <c r="F460" i="1"/>
  <c r="H638" i="1" s="1"/>
  <c r="L418" i="1"/>
  <c r="F191" i="1"/>
  <c r="G161" i="2"/>
  <c r="G159" i="2"/>
  <c r="G158" i="2"/>
  <c r="H551" i="1"/>
  <c r="K548" i="1"/>
  <c r="J551" i="1"/>
  <c r="G551" i="1"/>
  <c r="L523" i="1"/>
  <c r="F570" i="1"/>
  <c r="I544" i="1"/>
  <c r="F168" i="1"/>
  <c r="D29" i="13"/>
  <c r="C29" i="13" s="1"/>
  <c r="F62" i="2"/>
  <c r="H570" i="1"/>
  <c r="L569" i="1"/>
  <c r="I570" i="1"/>
  <c r="L564" i="1"/>
  <c r="J570" i="1"/>
  <c r="J544" i="1"/>
  <c r="L432" i="1"/>
  <c r="L426" i="1"/>
  <c r="L433" i="1" s="1"/>
  <c r="G637" i="1" s="1"/>
  <c r="J637" i="1" s="1"/>
  <c r="J337" i="1"/>
  <c r="J351" i="1" s="1"/>
  <c r="F337" i="1"/>
  <c r="F351" i="1" s="1"/>
  <c r="E31" i="2"/>
  <c r="E50" i="2" s="1"/>
  <c r="C31" i="2"/>
  <c r="F18" i="2"/>
  <c r="D18" i="2"/>
  <c r="H168" i="1"/>
  <c r="G644" i="1"/>
  <c r="H544" i="1"/>
  <c r="L255" i="1"/>
  <c r="G163" i="2"/>
  <c r="G160" i="2"/>
  <c r="G157" i="2"/>
  <c r="G156" i="2"/>
  <c r="G155" i="2"/>
  <c r="C113" i="2"/>
  <c r="C26" i="10"/>
  <c r="I168" i="1"/>
  <c r="J139" i="1"/>
  <c r="J192" i="1" s="1"/>
  <c r="G645" i="1" s="1"/>
  <c r="C35" i="10"/>
  <c r="G61" i="2"/>
  <c r="L400" i="1"/>
  <c r="C138" i="2" s="1"/>
  <c r="L392" i="1"/>
  <c r="C137" i="2" s="1"/>
  <c r="A13" i="12"/>
  <c r="E113" i="2"/>
  <c r="E123" i="2"/>
  <c r="E119" i="2"/>
  <c r="H660" i="1"/>
  <c r="D18" i="13"/>
  <c r="C18" i="13" s="1"/>
  <c r="J638" i="1"/>
  <c r="C90" i="2"/>
  <c r="K570" i="1"/>
  <c r="L559" i="1"/>
  <c r="K544" i="1"/>
  <c r="G544" i="1"/>
  <c r="J644" i="1"/>
  <c r="J633" i="1"/>
  <c r="E102" i="2"/>
  <c r="F102" i="2"/>
  <c r="F77" i="2"/>
  <c r="F80" i="2" s="1"/>
  <c r="D80" i="2"/>
  <c r="D61" i="2"/>
  <c r="D62" i="2" s="1"/>
  <c r="I551" i="1"/>
  <c r="K549" i="1"/>
  <c r="C29" i="10"/>
  <c r="K550" i="1"/>
  <c r="F475" i="1"/>
  <c r="H621" i="1" s="1"/>
  <c r="J621" i="1" s="1"/>
  <c r="C49" i="2"/>
  <c r="C50" i="2" s="1"/>
  <c r="F51" i="1"/>
  <c r="H616" i="1" s="1"/>
  <c r="J616" i="1" s="1"/>
  <c r="C77" i="2"/>
  <c r="C69" i="2"/>
  <c r="C61" i="2"/>
  <c r="C62" i="2" s="1"/>
  <c r="F111" i="1"/>
  <c r="C111" i="2"/>
  <c r="C32" i="10"/>
  <c r="L269" i="1"/>
  <c r="C117" i="2"/>
  <c r="I256" i="1"/>
  <c r="I270" i="1" s="1"/>
  <c r="C11" i="10"/>
  <c r="C119" i="2"/>
  <c r="J256" i="1"/>
  <c r="J270" i="1" s="1"/>
  <c r="C110" i="2"/>
  <c r="L246" i="1"/>
  <c r="C13" i="10"/>
  <c r="C121" i="2"/>
  <c r="D12" i="13"/>
  <c r="C12" i="13" s="1"/>
  <c r="C15" i="10"/>
  <c r="C12" i="10"/>
  <c r="K256" i="1"/>
  <c r="K270" i="1" s="1"/>
  <c r="C109" i="2"/>
  <c r="C10" i="10"/>
  <c r="C124" i="2"/>
  <c r="C17" i="10"/>
  <c r="C122" i="2"/>
  <c r="D14" i="13"/>
  <c r="C14" i="13" s="1"/>
  <c r="E13" i="13"/>
  <c r="C13" i="13" s="1"/>
  <c r="C18" i="10"/>
  <c r="D7" i="13"/>
  <c r="C7" i="13" s="1"/>
  <c r="D5" i="13"/>
  <c r="C5" i="13" s="1"/>
  <c r="C108" i="2"/>
  <c r="K597" i="1"/>
  <c r="G646" i="1" s="1"/>
  <c r="J648" i="1"/>
  <c r="G661" i="1"/>
  <c r="D15" i="13"/>
  <c r="C15" i="13" s="1"/>
  <c r="F256" i="1"/>
  <c r="F270" i="1" s="1"/>
  <c r="H256" i="1"/>
  <c r="H270" i="1" s="1"/>
  <c r="C21" i="10"/>
  <c r="C123" i="2"/>
  <c r="L228" i="1"/>
  <c r="G256" i="1"/>
  <c r="G270" i="1" s="1"/>
  <c r="J640" i="1"/>
  <c r="J642" i="1"/>
  <c r="E16" i="13"/>
  <c r="F551" i="1"/>
  <c r="H25" i="13"/>
  <c r="F50" i="2"/>
  <c r="D6" i="13"/>
  <c r="C6" i="13" s="1"/>
  <c r="G650" i="1"/>
  <c r="J650" i="1" s="1"/>
  <c r="G623" i="1"/>
  <c r="J623" i="1" s="1"/>
  <c r="K499" i="1"/>
  <c r="I459" i="1"/>
  <c r="I451" i="1"/>
  <c r="C120" i="2"/>
  <c r="C118" i="2"/>
  <c r="E55" i="2"/>
  <c r="E131" i="2"/>
  <c r="E143" i="2" s="1"/>
  <c r="H661" i="1"/>
  <c r="G660" i="1"/>
  <c r="L210" i="1"/>
  <c r="C16" i="10"/>
  <c r="L361" i="1"/>
  <c r="C27" i="10" s="1"/>
  <c r="E80" i="2"/>
  <c r="L350" i="1"/>
  <c r="G622" i="1"/>
  <c r="J622" i="1" s="1"/>
  <c r="L538" i="1"/>
  <c r="K502" i="1"/>
  <c r="L381" i="1"/>
  <c r="G635" i="1" s="1"/>
  <c r="J635" i="1" s="1"/>
  <c r="K337" i="1"/>
  <c r="K351" i="1" s="1"/>
  <c r="L336" i="1"/>
  <c r="C141" i="2"/>
  <c r="F129" i="2"/>
  <c r="F143" i="2" s="1"/>
  <c r="F144" i="2" s="1"/>
  <c r="E110" i="2"/>
  <c r="F660" i="1"/>
  <c r="C23" i="10"/>
  <c r="C19" i="10"/>
  <c r="E8" i="13"/>
  <c r="C8" i="13" s="1"/>
  <c r="L289" i="1"/>
  <c r="H646" i="1"/>
  <c r="L613" i="1"/>
  <c r="L528" i="1"/>
  <c r="C24" i="10"/>
  <c r="G31" i="13"/>
  <c r="G33" i="13" s="1"/>
  <c r="I337" i="1"/>
  <c r="I351" i="1" s="1"/>
  <c r="J649" i="1"/>
  <c r="L406" i="1"/>
  <c r="C139" i="2" s="1"/>
  <c r="I191" i="1"/>
  <c r="E90" i="2"/>
  <c r="J653" i="1"/>
  <c r="J652" i="1"/>
  <c r="G21" i="2"/>
  <c r="G31" i="2" s="1"/>
  <c r="J32" i="1"/>
  <c r="J433" i="1"/>
  <c r="F433" i="1"/>
  <c r="K433" i="1"/>
  <c r="G133" i="2" s="1"/>
  <c r="G143" i="2" s="1"/>
  <c r="G144" i="2" s="1"/>
  <c r="F31" i="13"/>
  <c r="F33" i="13" s="1"/>
  <c r="G168" i="1"/>
  <c r="G139" i="1"/>
  <c r="F139" i="1"/>
  <c r="G62" i="2"/>
  <c r="G103" i="2" s="1"/>
  <c r="J617" i="1"/>
  <c r="G42" i="2"/>
  <c r="G49" i="2" s="1"/>
  <c r="J50" i="1"/>
  <c r="G16" i="2"/>
  <c r="J19" i="1"/>
  <c r="G620" i="1" s="1"/>
  <c r="G18" i="2"/>
  <c r="F544" i="1"/>
  <c r="H433" i="1"/>
  <c r="J619" i="1"/>
  <c r="J618" i="1"/>
  <c r="D102" i="2"/>
  <c r="I139" i="1"/>
  <c r="A22" i="12"/>
  <c r="J651" i="1"/>
  <c r="G570" i="1"/>
  <c r="I433" i="1"/>
  <c r="G433" i="1"/>
  <c r="I662" i="1"/>
  <c r="E62" i="2" l="1"/>
  <c r="H192" i="1"/>
  <c r="G628" i="1" s="1"/>
  <c r="J628" i="1" s="1"/>
  <c r="G634" i="1"/>
  <c r="J634" i="1" s="1"/>
  <c r="C36" i="10"/>
  <c r="F103" i="2"/>
  <c r="I192" i="1"/>
  <c r="G629" i="1" s="1"/>
  <c r="J629" i="1" s="1"/>
  <c r="E114" i="2"/>
  <c r="H659" i="1"/>
  <c r="H663" i="1" s="1"/>
  <c r="H666" i="1" s="1"/>
  <c r="G659" i="1"/>
  <c r="G663" i="1" s="1"/>
  <c r="G671" i="1" s="1"/>
  <c r="C5" i="10" s="1"/>
  <c r="L337" i="1"/>
  <c r="L351" i="1" s="1"/>
  <c r="G632" i="1" s="1"/>
  <c r="J632" i="1" s="1"/>
  <c r="D31" i="13"/>
  <c r="C31" i="13" s="1"/>
  <c r="G50" i="2"/>
  <c r="C80" i="2"/>
  <c r="E127" i="2"/>
  <c r="K551" i="1"/>
  <c r="L544" i="1"/>
  <c r="L570" i="1"/>
  <c r="I460" i="1"/>
  <c r="H641" i="1" s="1"/>
  <c r="J641" i="1" s="1"/>
  <c r="I661" i="1"/>
  <c r="D103" i="2"/>
  <c r="C39" i="10"/>
  <c r="E103" i="2"/>
  <c r="I660" i="1"/>
  <c r="C140" i="2"/>
  <c r="C143" i="2" s="1"/>
  <c r="C103" i="2"/>
  <c r="F192" i="1"/>
  <c r="G626" i="1" s="1"/>
  <c r="J626" i="1" s="1"/>
  <c r="J646" i="1"/>
  <c r="H647" i="1"/>
  <c r="J647" i="1" s="1"/>
  <c r="C114" i="2"/>
  <c r="L256" i="1"/>
  <c r="L270" i="1" s="1"/>
  <c r="G631" i="1" s="1"/>
  <c r="J631" i="1" s="1"/>
  <c r="C127" i="2"/>
  <c r="C28" i="10"/>
  <c r="D23" i="10" s="1"/>
  <c r="L407" i="1"/>
  <c r="C25" i="13"/>
  <c r="H33" i="13"/>
  <c r="E33" i="13"/>
  <c r="D35" i="13" s="1"/>
  <c r="C16" i="13"/>
  <c r="F659" i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E144" i="2" l="1"/>
  <c r="D33" i="13"/>
  <c r="D36" i="13" s="1"/>
  <c r="H671" i="1"/>
  <c r="C6" i="10" s="1"/>
  <c r="G666" i="1"/>
  <c r="C144" i="2"/>
  <c r="D20" i="10"/>
  <c r="D15" i="10"/>
  <c r="D25" i="10"/>
  <c r="D19" i="10"/>
  <c r="D13" i="10"/>
  <c r="D11" i="10"/>
  <c r="D21" i="10"/>
  <c r="D22" i="10"/>
  <c r="D27" i="10"/>
  <c r="D18" i="10"/>
  <c r="D17" i="10"/>
  <c r="D12" i="10"/>
  <c r="D24" i="10"/>
  <c r="D10" i="10"/>
  <c r="D26" i="10"/>
  <c r="C30" i="10"/>
  <c r="D16" i="10"/>
  <c r="F663" i="1"/>
  <c r="I659" i="1"/>
  <c r="I663" i="1" s="1"/>
  <c r="I671" i="1" s="1"/>
  <c r="C7" i="10" s="1"/>
  <c r="G636" i="1"/>
  <c r="J636" i="1" s="1"/>
  <c r="H645" i="1"/>
  <c r="J645" i="1" s="1"/>
  <c r="C41" i="10"/>
  <c r="D38" i="10" s="1"/>
  <c r="D28" i="10" l="1"/>
  <c r="H655" i="1"/>
  <c r="I666" i="1"/>
  <c r="F671" i="1"/>
  <c r="C4" i="10" s="1"/>
  <c r="F66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<sst xmlns="http://schemas.openxmlformats.org/spreadsheetml/2006/main" count="3945" uniqueCount="911">
  <si>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</si>
  <si>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</si>
  <si>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</si>
  <si>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</si>
  <si>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</si>
  <si>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</si>
  <si>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</si>
  <si>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</si>
  <si>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</si>
  <si>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</si>
  <si>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</si>
  <si>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</si>
  <si>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</si>
  <si>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</si>
  <si>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</si>
  <si>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</si>
  <si>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</si>
  <si>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</si>
  <si>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</si>
  <si>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</si>
  <si>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</si>
  <si>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</si>
  <si>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</si>
  <si>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</si>
  <si>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</si>
  <si>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</si>
  <si>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</si>
  <si>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</si>
  <si>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</si>
  <si>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</si>
  <si>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</si>
  <si>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</si>
  <si>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</si>
  <si>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</si>
  <si>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</si>
  <si>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</si>
  <si>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</si>
  <si>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</si>
  <si>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</si>
  <si>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</si>
  <si>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</si>
  <si>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</si>
  <si>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</si>
  <si>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</si>
  <si>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</si>
  <si>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</si>
  <si>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</si>
  <si>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</si>
  <si>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</si>
  <si>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</si>
  <si>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</si>
  <si>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</si>
  <si>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</si>
  <si>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</si>
  <si>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</si>
  <si>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</si>
  <si>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</si>
  <si>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</si>
  <si>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</si>
  <si>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</si>
  <si>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</si>
  <si>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</si>
  <si>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</si>
  <si>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</si>
  <si>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</si>
  <si>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</si>
  <si>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</si>
  <si>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</si>
  <si>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</si>
  <si>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</si>
  <si>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</si>
  <si>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</si>
  <si>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</si>
  <si>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</si>
  <si>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</si>
  <si>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</si>
  <si>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</si>
  <si>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</si>
  <si>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</si>
  <si>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</si>
  <si>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</si>
  <si>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</si>
  <si>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</si>
  <si>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</si>
  <si>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</si>
  <si>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</si>
  <si>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</si>
  <si>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</si>
  <si>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</si>
  <si>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</si>
  <si>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</si>
  <si>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</si>
  <si>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</si>
  <si>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</si>
  <si>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</si>
  <si>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</si>
  <si>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</si>
  <si>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</si>
  <si>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</si>
  <si>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</si>
  <si>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</si>
  <si>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</si>
  <si>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</si>
  <si>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</si>
  <si>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</si>
  <si>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</si>
  <si>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</si>
  <si>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</si>
  <si>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</si>
  <si>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</si>
  <si>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</si>
  <si>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</si>
  <si>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</si>
  <si>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</si>
  <si>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</si>
  <si>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</si>
  <si>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</si>
  <si>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</si>
  <si>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</si>
  <si>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</si>
  <si>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</si>
  <si>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</si>
  <si>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</si>
  <si>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</si>
  <si>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</si>
  <si>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</si>
  <si>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</si>
  <si>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</si>
  <si>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</si>
  <si>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</si>
  <si>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</si>
  <si>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</si>
  <si>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</si>
  <si>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</si>
  <si>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</si>
  <si>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</si>
  <si>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</si>
  <si>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</si>
  <si>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</si>
  <si>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</si>
  <si>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</si>
  <si>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</si>
  <si>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</si>
  <si>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</si>
  <si>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</si>
  <si>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</si>
  <si>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</si>
  <si>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</si>
  <si>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</si>
  <si>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</si>
  <si>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</si>
  <si>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</si>
  <si>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</si>
  <si>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</si>
  <si>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</si>
  <si>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</si>
  <si>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</si>
  <si>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</si>
  <si>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</si>
  <si>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</si>
  <si>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</si>
  <si>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</si>
  <si>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</si>
  <si>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</si>
  <si>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</si>
  <si>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</si>
  <si>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</si>
  <si>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</si>
  <si>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</si>
  <si>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</si>
  <si>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</si>
  <si>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</si>
  <si>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</si>
  <si>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</si>
  <si>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</si>
  <si>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</si>
  <si>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</si>
  <si>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</si>
  <si>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</si>
  <si>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</si>
  <si>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</si>
  <si>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</si>
  <si>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</si>
  <si>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</si>
  <si>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</si>
  <si>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</si>
  <si>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</si>
  <si>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</si>
  <si>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</si>
  <si>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</si>
  <si>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</si>
  <si>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</si>
  <si>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</si>
  <si>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</si>
  <si>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</si>
  <si>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</si>
  <si>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</si>
  <si>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</si>
  <si>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</si>
  <si>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</si>
  <si>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</si>
  <si>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</si>
  <si>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</si>
  <si>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</si>
  <si>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</si>
  <si>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</si>
  <si>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</si>
  <si>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</si>
  <si>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</si>
  <si>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</si>
  <si>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</si>
  <si>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</si>
  <si>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</si>
  <si>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</si>
  <si>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</si>
  <si>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</si>
  <si>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</si>
  <si>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</si>
  <si>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</si>
  <si>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</si>
  <si>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</si>
  <si>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</si>
  <si>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</si>
  <si>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</si>
  <si>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</si>
  <si>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</si>
  <si>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</si>
  <si>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</si>
  <si>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</si>
  <si>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</si>
  <si>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</si>
  <si>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</si>
  <si>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</si>
  <si>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</si>
  <si>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</si>
  <si>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</si>
  <si>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</si>
  <si>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</si>
  <si>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</si>
  <si>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</si>
  <si>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</si>
  <si>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</si>
  <si>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</si>
  <si>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</si>
  <si>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</si>
  <si>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</si>
  <si>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</si>
  <si>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</si>
  <si>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</si>
  <si>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</si>
  <si>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</si>
  <si>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</si>
  <si>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</si>
  <si>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</si>
  <si>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</si>
  <si>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</si>
  <si>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</si>
  <si>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</si>
  <si>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</si>
  <si>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</si>
  <si>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</si>
  <si>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</si>
  <si>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</si>
  <si>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</si>
  <si>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</si>
  <si>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</si>
  <si>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</si>
  <si>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</si>
  <si>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</si>
  <si>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</si>
  <si>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</si>
  <si>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</si>
  <si>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</si>
  <si>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</si>
  <si>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</si>
  <si>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</si>
  <si>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</si>
  <si>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</si>
  <si>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</si>
  <si>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</si>
  <si>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</si>
  <si>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</si>
  <si>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</si>
  <si>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</si>
  <si>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</si>
  <si>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</si>
  <si>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</si>
  <si>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</si>
  <si>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</si>
  <si>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</si>
  <si>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</si>
  <si>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</si>
  <si>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</si>
  <si>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</si>
  <si>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</si>
  <si>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</si>
  <si>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</si>
  <si>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</si>
  <si>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</si>
  <si>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</si>
  <si>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</si>
  <si>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</si>
  <si>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</si>
  <si>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</si>
  <si>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</si>
  <si>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</si>
  <si>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</si>
  <si>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</si>
  <si>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</si>
  <si>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</si>
  <si>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</si>
  <si>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</si>
  <si>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</si>
  <si>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</si>
  <si>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</si>
  <si>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</si>
  <si>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</si>
  <si>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</si>
  <si>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</si>
  <si>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</si>
  <si>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</si>
  <si>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</si>
  <si>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</si>
  <si>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</si>
  <si>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</si>
  <si>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</si>
  <si>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</si>
  <si>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</si>
  <si>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</si>
  <si>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</si>
  <si>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</si>
  <si>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</si>
  <si>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</si>
  <si>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</si>
  <si>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</si>
  <si>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</si>
  <si>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</si>
  <si>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</si>
  <si>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</si>
  <si>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</si>
  <si>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</si>
  <si>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</si>
  <si>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</si>
  <si>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</si>
  <si>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</si>
  <si>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</si>
  <si>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</si>
  <si>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</si>
  <si>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</si>
  <si>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</si>
  <si>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</si>
  <si>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</si>
  <si>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</si>
  <si>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</si>
  <si>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</si>
  <si>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</si>
  <si>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</si>
  <si>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</si>
  <si>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</si>
  <si>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</si>
  <si>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</si>
  <si>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</si>
  <si>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</si>
  <si>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</si>
  <si>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</si>
  <si>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</si>
  <si>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</si>
  <si>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</si>
  <si>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</si>
  <si>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</si>
  <si>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</si>
  <si>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</si>
  <si>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</si>
  <si>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</si>
  <si>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</si>
  <si>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</si>
  <si>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</si>
  <si>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</si>
  <si>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</si>
  <si>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</si>
  <si>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</si>
  <si>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</si>
  <si>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</si>
  <si>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</si>
  <si>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</si>
  <si>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</si>
  <si>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</si>
  <si>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</si>
  <si>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</si>
  <si>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</si>
  <si>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</si>
  <si>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</si>
  <si>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</si>
  <si>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</si>
  <si>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</si>
  <si>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</si>
  <si>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</si>
  <si>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</si>
  <si>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</si>
  <si>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</si>
  <si>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</si>
  <si>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</si>
  <si>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</si>
  <si>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</si>
  <si>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</si>
  <si>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</si>
  <si>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</si>
  <si>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</si>
  <si>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</si>
  <si>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</si>
  <si>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</si>
  <si>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</si>
  <si>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</si>
  <si>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</si>
  <si>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</si>
  <si>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</si>
  <si>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</si>
  <si>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</si>
  <si>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</si>
  <si>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</si>
  <si>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</si>
  <si>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</si>
  <si>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</si>
  <si>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</si>
  <si>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</si>
  <si>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</si>
  <si>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</si>
  <si>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</si>
  <si>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</si>
  <si>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</si>
  <si>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</si>
  <si>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</si>
  <si>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</si>
  <si>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</si>
  <si>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</si>
  <si>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</si>
  <si>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</si>
  <si>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</si>
  <si>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</si>
  <si>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</si>
  <si>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</si>
  <si>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</si>
  <si>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</si>
  <si>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</si>
  <si>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</si>
  <si>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</si>
  <si>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</si>
  <si>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</si>
  <si>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</si>
  <si>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</si>
  <si>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</si>
  <si>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</si>
  <si>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</si>
  <si>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</si>
  <si>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</si>
  <si>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</si>
  <si>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</si>
  <si>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</si>
  <si>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</si>
  <si>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</si>
  <si>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</si>
  <si>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</si>
  <si>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</si>
  <si>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</si>
  <si>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</si>
  <si>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</si>
  <si>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</si>
  <si>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</si>
  <si>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</si>
  <si>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</si>
  <si>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</si>
  <si>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</si>
  <si>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</si>
  <si>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</si>
  <si>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</si>
  <si>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</si>
  <si>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</si>
  <si>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</si>
  <si>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</si>
  <si>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</si>
  <si>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</si>
  <si>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</si>
  <si>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</si>
  <si>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</si>
  <si>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</si>
  <si>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</si>
  <si>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</si>
  <si>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</si>
  <si>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</si>
  <si>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</si>
  <si>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</si>
  <si>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</si>
  <si>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</si>
  <si>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</si>
  <si>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</si>
  <si>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</si>
  <si>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</si>
  <si>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</si>
  <si>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</si>
  <si>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</si>
  <si>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</si>
  <si>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</si>
  <si>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</si>
  <si>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</si>
  <si>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</si>
  <si>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</si>
  <si>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</si>
  <si>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</si>
  <si>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</si>
  <si>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</si>
  <si>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</si>
  <si>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</si>
  <si>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</si>
  <si>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</si>
  <si>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</si>
  <si>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</si>
  <si>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</si>
  <si>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</si>
  <si>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</si>
  <si>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</si>
  <si>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</si>
  <si>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</si>
  <si>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</si>
  <si>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</si>
  <si>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</si>
  <si>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</si>
  <si>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</si>
  <si>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</si>
  <si>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</si>
  <si>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</si>
  <si>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</si>
  <si>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</si>
  <si>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</si>
  <si>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</si>
  <si>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</si>
  <si>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</si>
  <si>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</si>
  <si>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</si>
  <si>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</si>
  <si>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</si>
  <si>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</si>
  <si>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</si>
  <si>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</si>
  <si>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</si>
  <si>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</si>
  <si>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</si>
  <si>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</si>
  <si>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</si>
  <si>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</si>
  <si>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</si>
  <si>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</si>
  <si>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</si>
  <si>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</si>
  <si>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</si>
  <si>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</si>
  <si>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</si>
  <si>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</si>
  <si>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</si>
  <si>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</si>
  <si>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</si>
  <si>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</si>
  <si>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</si>
  <si>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</si>
  <si>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</si>
  <si>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</si>
  <si>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</si>
  <si>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</si>
  <si>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</si>
  <si>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</si>
  <si>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</si>
  <si>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</si>
  <si>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</si>
  <si>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</si>
  <si>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</si>
  <si>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</si>
  <si>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</si>
  <si>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</si>
  <si>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</si>
  <si>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</si>
  <si>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</si>
  <si>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</si>
  <si>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</si>
  <si>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</si>
  <si>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</si>
  <si>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</si>
  <si>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</si>
  <si>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</si>
  <si>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</si>
  <si>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</si>
  <si>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</si>
  <si>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</si>
  <si>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</si>
  <si>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</si>
  <si>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</si>
  <si>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</si>
  <si>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</si>
  <si>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</si>
  <si>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</si>
  <si>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</si>
  <si>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</si>
  <si>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</si>
  <si>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</si>
  <si>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</si>
  <si>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</si>
  <si>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</si>
  <si>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</si>
  <si>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</si>
  <si>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</si>
  <si>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</si>
  <si>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</si>
  <si>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</si>
  <si>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</si>
  <si>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</si>
  <si>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</si>
  <si>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</si>
  <si>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</si>
  <si>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</si>
  <si>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</si>
  <si>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</si>
  <si>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</si>
  <si>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</si>
  <si>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</si>
  <si>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</si>
  <si>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</si>
  <si>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</si>
  <si>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</si>
  <si>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</si>
  <si>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</si>
  <si>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</si>
  <si>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</si>
  <si>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</si>
  <si>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</si>
  <si>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</si>
  <si>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</si>
  <si>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</si>
  <si>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</si>
  <si>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</si>
  <si>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</si>
  <si>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</si>
  <si>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</si>
  <si>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</si>
  <si>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</si>
  <si>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</si>
  <si>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</si>
  <si>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</si>
  <si>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</si>
  <si>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</si>
  <si>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</si>
  <si>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</si>
  <si>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</si>
  <si>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</si>
  <si>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</si>
  <si>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</si>
  <si>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</si>
  <si>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</si>
  <si>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</si>
  <si>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</si>
  <si>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</si>
  <si>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</si>
  <si>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</si>
  <si>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</si>
  <si>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</si>
  <si>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</si>
  <si>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</si>
  <si>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</si>
  <si>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</si>
  <si>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</si>
  <si>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</si>
  <si>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</si>
  <si>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</si>
  <si>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</si>
  <si>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</si>
  <si>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</si>
  <si>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</si>
  <si>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</si>
  <si>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</si>
  <si>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</si>
  <si>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</si>
  <si>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</si>
  <si>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</si>
  <si>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</si>
  <si>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</si>
  <si>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</si>
  <si>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</si>
  <si>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</si>
  <si>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</si>
  <si>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</si>
  <si>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</si>
  <si>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</si>
  <si>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</si>
  <si>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</si>
  <si>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</si>
  <si>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</si>
  <si>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</si>
  <si>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</si>
  <si>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</si>
  <si>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</si>
  <si>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</si>
  <si>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</si>
  <si>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</si>
  <si>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</si>
  <si>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</si>
  <si>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</si>
  <si>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</si>
  <si>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</si>
  <si>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</si>
  <si>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</si>
  <si>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</si>
  <si>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</si>
  <si>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</si>
  <si>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</si>
  <si>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</si>
  <si>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</si>
  <si>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</si>
  <si>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</si>
  <si>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</si>
  <si>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</si>
  <si>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</si>
  <si>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</si>
  <si>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</si>
  <si>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</si>
  <si>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</si>
  <si>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</si>
  <si>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</si>
  <si>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</si>
  <si>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</si>
  <si>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</si>
  <si>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</si>
  <si>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</si>
  <si>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</si>
  <si>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</si>
  <si>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</si>
  <si>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</si>
  <si>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</si>
  <si>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</si>
  <si>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</si>
  <si>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</si>
  <si>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</si>
  <si>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</si>
  <si>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</si>
  <si>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</si>
  <si>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</si>
  <si>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</si>
  <si>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</si>
  <si>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</si>
  <si>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</si>
  <si>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</si>
  <si>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</si>
  <si>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</si>
  <si>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</si>
  <si>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</si>
  <si>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</si>
  <si>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</si>
  <si>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</si>
  <si>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</si>
  <si>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</si>
  <si>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</si>
  <si>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</si>
  <si>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</si>
  <si>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</si>
  <si>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</si>
  <si>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</si>
  <si>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</si>
  <si>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</si>
  <si>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</si>
  <si>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</si>
  <si>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</si>
  <si>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</si>
  <si>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</si>
  <si>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</si>
  <si>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</si>
  <si>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</si>
  <si>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</si>
  <si>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</si>
  <si>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</si>
  <si>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</si>
  <si>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</si>
  <si>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</si>
  <si>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</si>
  <si>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</si>
  <si>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</si>
  <si>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</si>
  <si>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</si>
  <si>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</si>
  <si>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</si>
  <si>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</si>
  <si>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</si>
  <si>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</si>
  <si>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</si>
  <si>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</si>
  <si>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</si>
  <si>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</si>
  <si>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</si>
  <si>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</si>
  <si>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</si>
  <si>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</si>
  <si>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</si>
  <si>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</si>
  <si>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</si>
  <si>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</si>
  <si>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</si>
  <si>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</si>
  <si>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</si>
  <si>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</si>
  <si>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</si>
  <si>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</si>
  <si>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</si>
  <si>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</si>
  <si>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</si>
  <si>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</si>
  <si>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</si>
  <si>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</si>
  <si>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</si>
  <si>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</si>
  <si>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</si>
  <si>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</si>
  <si>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</si>
  <si>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</si>
  <si>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</si>
  <si>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</si>
  <si>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</si>
  <si>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</si>
  <si>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</si>
  <si>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</si>
  <si>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</si>
  <si>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</si>
  <si>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</si>
  <si>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</si>
  <si>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</si>
  <si>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</si>
  <si>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</si>
  <si>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</si>
  <si>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</si>
  <si>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</si>
  <si>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</si>
  <si>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</si>
  <si>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</si>
  <si>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</si>
  <si>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</si>
  <si>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</si>
  <si>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</si>
  <si>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</si>
  <si>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</si>
  <si>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</si>
  <si>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</si>
  <si>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</si>
  <si>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</si>
  <si>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</si>
  <si>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</si>
  <si>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</si>
  <si>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</si>
  <si>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</si>
  <si>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</si>
  <si>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</si>
  <si>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</si>
  <si>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</si>
  <si>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</si>
  <si>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</si>
  <si>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</si>
  <si>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</si>
  <si>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</si>
  <si>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</si>
  <si>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</si>
  <si>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</si>
  <si>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</si>
  <si>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</si>
  <si>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</si>
  <si>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</si>
  <si>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</si>
  <si>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</si>
  <si>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</si>
  <si>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</si>
  <si>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</si>
  <si>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</si>
  <si>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</si>
  <si>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</si>
  <si>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</si>
  <si>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</si>
  <si>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</si>
  <si>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</si>
  <si>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</si>
  <si>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</si>
  <si>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</si>
  <si>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</si>
  <si>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</si>
  <si>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</si>
  <si>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</si>
  <si>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</si>
  <si>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</si>
  <si>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</si>
  <si>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</si>
  <si>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</si>
  <si>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</si>
  <si>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</si>
  <si>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</si>
  <si>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</si>
  <si>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</si>
  <si>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</si>
  <si>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</si>
  <si>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</si>
  <si>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</si>
  <si>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</si>
  <si>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</si>
  <si>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</si>
  <si>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</si>
  <si>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</si>
  <si>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</si>
  <si>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</si>
  <si>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</si>
  <si>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Adjustment needed to remedy error.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</si>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</sst>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5"/>
  <sheetViews>
    <sheetView tabSelected="1" zoomScale="90" zoomScaleNormal="9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910</v>
      </c>
      <c r="B2" s="21">
        <v>335</v>
      </c>
      <c r="C2" s="21">
        <v>335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200+2168256.4+9688.05+5671.75</f>
        <v>2183816.1999999997</v>
      </c>
      <c r="G9" s="18">
        <f>124762.53+515</f>
        <v>125277.53</v>
      </c>
      <c r="H9" s="18">
        <v>1400</v>
      </c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3869691.09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16301258.33</v>
      </c>
      <c r="G13" s="18">
        <v>714866.82</v>
      </c>
      <c r="H13" s="18">
        <v>52380.24</v>
      </c>
      <c r="I13" s="18"/>
      <c r="J13" s="67">
        <f>SUM(I441)</f>
        <v>3437661.66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778721.86</v>
      </c>
      <c r="G14" s="18">
        <v>8884.93</v>
      </c>
      <c r="H14" s="18">
        <v>3378612.44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34498.39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321792.51</v>
      </c>
      <c r="G17" s="18"/>
      <c r="H17" s="18">
        <v>334.5</v>
      </c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23455279.989999998</v>
      </c>
      <c r="G19" s="41">
        <f>SUM(G9:G18)</f>
        <v>883527.67</v>
      </c>
      <c r="H19" s="41">
        <f>SUM(H9:H18)</f>
        <v>3432727.18</v>
      </c>
      <c r="I19" s="41">
        <f>SUM(I9:I18)</f>
        <v>0</v>
      </c>
      <c r="J19" s="41">
        <f>SUM(J9:J18)</f>
        <v>3437661.66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1211092.96</v>
      </c>
      <c r="I22" s="18"/>
      <c r="J22" s="67">
        <f>SUM(I447)</f>
        <v>2183882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>
        <v>474716.13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541370.29</v>
      </c>
      <c r="G24" s="18">
        <v>97303.52</v>
      </c>
      <c r="H24" s="18">
        <v>770004.57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2898594</f>
        <v>2898594</v>
      </c>
      <c r="G28" s="18">
        <v>16855.25</v>
      </c>
      <c r="H28" s="18">
        <v>472011.52000000002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-240346.83+46090.25+21226.75+1090695.07+3838.04+11204.83+3433.9+8308.26</f>
        <v>944450.27000000014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18020329.800000001</v>
      </c>
      <c r="G30" s="18">
        <f>26369.61+8852.59+12670.88</f>
        <v>47893.079999999994</v>
      </c>
      <c r="H30" s="18">
        <v>20050.47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22404744.359999999</v>
      </c>
      <c r="G32" s="41">
        <f>SUM(G22:G31)</f>
        <v>636767.98</v>
      </c>
      <c r="H32" s="41">
        <f>SUM(H22:H31)</f>
        <v>2473159.52</v>
      </c>
      <c r="I32" s="41">
        <f>SUM(I22:I31)</f>
        <v>0</v>
      </c>
      <c r="J32" s="41">
        <f>SUM(J22:J31)</f>
        <v>2183882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34498.39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321792.51</v>
      </c>
      <c r="G36" s="18"/>
      <c r="H36" s="18">
        <v>334.5</v>
      </c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87498.77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493557.11</v>
      </c>
      <c r="G47" s="18">
        <v>124762.53</v>
      </c>
      <c r="H47" s="18">
        <v>959233.16</v>
      </c>
      <c r="I47" s="18"/>
      <c r="J47" s="13">
        <f>SUM(I458)</f>
        <v>1253779.6599999999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235186.01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0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1050535.6299999999</v>
      </c>
      <c r="G50" s="41">
        <f>SUM(G35:G49)</f>
        <v>246759.69</v>
      </c>
      <c r="H50" s="41">
        <f>SUM(H35:H49)</f>
        <v>959567.66</v>
      </c>
      <c r="I50" s="41">
        <f>SUM(I35:I49)</f>
        <v>0</v>
      </c>
      <c r="J50" s="41">
        <f>SUM(J35:J49)</f>
        <v>1253779.6599999999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23455279.989999998</v>
      </c>
      <c r="G51" s="41">
        <f>G50+G32</f>
        <v>883527.66999999993</v>
      </c>
      <c r="H51" s="41">
        <f>H50+H32</f>
        <v>3432727.18</v>
      </c>
      <c r="I51" s="41">
        <f>I50+I32</f>
        <v>0</v>
      </c>
      <c r="J51" s="41">
        <f>J50+J32</f>
        <v>3437661.66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59347692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>
        <v>554513.5</v>
      </c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59347692</v>
      </c>
      <c r="G59" s="41">
        <f>SUM(G56:G58)</f>
        <v>0</v>
      </c>
      <c r="H59" s="41">
        <f>SUM(H56:H58)</f>
        <v>554513.5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15696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>
        <v>40319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>
        <v>243965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>
        <v>48599.72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5880971.61+1579649</f>
        <v>7460620.6100000003</v>
      </c>
      <c r="G67" s="24" t="s">
        <v>289</v>
      </c>
      <c r="H67" s="18">
        <v>623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2458938.11</v>
      </c>
      <c r="G68" s="24" t="s">
        <v>289</v>
      </c>
      <c r="H68" s="18">
        <v>3838238.44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249073.32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10184328.040000001</v>
      </c>
      <c r="G78" s="45" t="s">
        <v>289</v>
      </c>
      <c r="H78" s="41">
        <f>SUM(H62:H77)</f>
        <v>4171745.16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144433.51</v>
      </c>
      <c r="G95" s="18"/>
      <c r="H95" s="18"/>
      <c r="I95" s="18"/>
      <c r="J95" s="18">
        <v>-37223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-29082.43+904347.72+29758.4+472499.4+15.59+25817.95+84+345.88</f>
        <v>1403786.5099999998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36904</v>
      </c>
      <c r="G97" s="24" t="s">
        <v>289</v>
      </c>
      <c r="H97" s="18">
        <v>70055.44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10847.55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549793.76+233006</f>
        <v>782799.76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7424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200000+70328.72+555000</f>
        <v>825328.72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1024937.78</v>
      </c>
      <c r="G110" s="41">
        <f>SUM(G95:G109)</f>
        <v>1403786.5099999998</v>
      </c>
      <c r="H110" s="41">
        <f>SUM(H95:H109)</f>
        <v>852855.2</v>
      </c>
      <c r="I110" s="41">
        <f>SUM(I95:I109)</f>
        <v>0</v>
      </c>
      <c r="J110" s="41">
        <f>SUM(J95:J109)</f>
        <v>-37223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70556957.820000008</v>
      </c>
      <c r="G111" s="41">
        <f>G59+G110</f>
        <v>1403786.5099999998</v>
      </c>
      <c r="H111" s="41">
        <f>H59+H78+H93+H110</f>
        <v>5579113.8600000003</v>
      </c>
      <c r="I111" s="41">
        <f>I59+I110</f>
        <v>0</v>
      </c>
      <c r="J111" s="41">
        <f>J59+J110</f>
        <v>-37223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56761263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19881887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76643150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2357291.36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367756.49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543862.80000000005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87501.55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3268910.6499999994</v>
      </c>
      <c r="G135" s="41">
        <f>SUM(G122:G134)</f>
        <v>87501.55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79912060.650000006</v>
      </c>
      <c r="G139" s="41">
        <f>G120+SUM(G135:G136)</f>
        <v>87501.55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>
        <v>262932.23</v>
      </c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262932.23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6867936.9199999999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3188787.62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673788.72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433526.69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3489598.42+115306.94</f>
        <v>3604905.36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4345635.2699999996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1450502.26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93292.06</v>
      </c>
      <c r="G160" s="18"/>
      <c r="H160" s="18">
        <f>1102672.19+304068.87</f>
        <v>1406741.06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1543794.32</v>
      </c>
      <c r="G161" s="41">
        <f>SUM(G149:G160)</f>
        <v>3604905.36</v>
      </c>
      <c r="H161" s="41">
        <f>SUM(H149:H160)</f>
        <v>16916416.279999997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1543794.32</v>
      </c>
      <c r="G168" s="41">
        <f>G146+G161+SUM(G162:G167)</f>
        <v>3867837.59</v>
      </c>
      <c r="H168" s="41">
        <f>H146+H161+SUM(H162:H167)</f>
        <v>16916416.279999997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44368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192047.55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192047.55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44368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2228250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2228250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2420297.5499999998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44368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154433110.34000003</v>
      </c>
      <c r="G192" s="47">
        <f>G111+G139+G168+G191</f>
        <v>5359125.6499999994</v>
      </c>
      <c r="H192" s="47">
        <f>H111+H139+H168+H191</f>
        <v>22495530.139999997</v>
      </c>
      <c r="I192" s="47">
        <f>I111+I139+I168+I191</f>
        <v>0</v>
      </c>
      <c r="J192" s="47">
        <f>J111+J139+J191</f>
        <v>7145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4220.77+19410388.16+0.01</f>
        <v>19414608.940000001</v>
      </c>
      <c r="G196" s="18">
        <f>-2292449.39+9737903.74+150+593241.7</f>
        <v>8038846.0499999998</v>
      </c>
      <c r="H196" s="18">
        <f>232.66+2225.89+426.8+21271.92+51.8+7099.56+4371.72+1025.66-0.04</f>
        <v>36705.97</v>
      </c>
      <c r="I196" s="18">
        <f>137748.8+137308.34+0.02</f>
        <v>275057.16000000003</v>
      </c>
      <c r="J196" s="18"/>
      <c r="K196" s="18"/>
      <c r="L196" s="19">
        <f>SUM(F196:K196)</f>
        <v>27765218.120000001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182620.33+8367803.74</f>
        <v>8550424.0700000003</v>
      </c>
      <c r="G197" s="18">
        <f>83263.22+5967124.07+50-593241.7</f>
        <v>5457195.5899999999</v>
      </c>
      <c r="H197" s="18">
        <f>81015.28+154824.64+1193.26+373+1039486.64+3392.25</f>
        <v>1280285.07</v>
      </c>
      <c r="I197" s="18">
        <f>19360.12+42024.99+5754.53</f>
        <v>67139.64</v>
      </c>
      <c r="J197" s="18">
        <f>173.95+4213</f>
        <v>4386.95</v>
      </c>
      <c r="K197" s="18">
        <f>1020.84+140</f>
        <v>1160.8400000000001</v>
      </c>
      <c r="L197" s="19">
        <f>SUM(F197:K197)</f>
        <v>15360592.16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f>1907.69</f>
        <v>1907.69</v>
      </c>
      <c r="G198" s="18">
        <f>765.96</f>
        <v>765.96</v>
      </c>
      <c r="H198" s="18"/>
      <c r="I198" s="18"/>
      <c r="J198" s="18"/>
      <c r="K198" s="18"/>
      <c r="L198" s="19">
        <f>SUM(F198:K198)</f>
        <v>2673.65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25507.2</f>
        <v>25507.200000000001</v>
      </c>
      <c r="G199" s="18">
        <f>3780.64</f>
        <v>3780.64</v>
      </c>
      <c r="H199" s="18"/>
      <c r="I199" s="18"/>
      <c r="J199" s="18"/>
      <c r="K199" s="18">
        <f>100000</f>
        <v>100000</v>
      </c>
      <c r="L199" s="19">
        <f>SUM(F199:K199)</f>
        <v>129287.84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44040.4+2255660</f>
        <v>2299700.4</v>
      </c>
      <c r="G201" s="18">
        <f>25225.7+1102513.5+414.99</f>
        <v>1128154.19</v>
      </c>
      <c r="H201" s="18">
        <f>213580.54+605706.98+5847.88+709.96+697942.12</f>
        <v>1523787.48</v>
      </c>
      <c r="I201" s="18">
        <f>1212.6</f>
        <v>1212.5999999999999</v>
      </c>
      <c r="J201" s="18">
        <f>12374.25</f>
        <v>12374.25</v>
      </c>
      <c r="K201" s="18"/>
      <c r="L201" s="19">
        <f t="shared" ref="L201:L207" si="0">SUM(F201:K201)</f>
        <v>4965228.92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9896.57+803527.48</f>
        <v>813424.04999999993</v>
      </c>
      <c r="G202" s="18">
        <f>6862.56+401860.66+29233.63+30607.47</f>
        <v>468564.31999999995</v>
      </c>
      <c r="H202" s="18">
        <f>128.51</f>
        <v>128.51</v>
      </c>
      <c r="I202" s="18">
        <f>1137.5+936.64+632.31</f>
        <v>2706.45</v>
      </c>
      <c r="J202" s="18"/>
      <c r="K202" s="18"/>
      <c r="L202" s="19">
        <f t="shared" si="0"/>
        <v>1284823.3299999998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333300.16</f>
        <v>333300.15999999997</v>
      </c>
      <c r="G203" s="18">
        <f>156079.76</f>
        <v>156079.76</v>
      </c>
      <c r="H203" s="18">
        <f>81567.62</f>
        <v>81567.62</v>
      </c>
      <c r="I203" s="18">
        <f>687.2</f>
        <v>687.2</v>
      </c>
      <c r="J203" s="18"/>
      <c r="K203" s="18">
        <f>2962.02</f>
        <v>2962.02</v>
      </c>
      <c r="L203" s="19">
        <f t="shared" si="0"/>
        <v>574596.76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2706269</f>
        <v>2706269</v>
      </c>
      <c r="G204" s="18">
        <f>3.5+1152689.98</f>
        <v>1152693.48</v>
      </c>
      <c r="H204" s="18">
        <f>6746.43+55435.06+46+70.09+22.76</f>
        <v>62320.34</v>
      </c>
      <c r="I204" s="18">
        <f>1713.21</f>
        <v>1713.21</v>
      </c>
      <c r="J204" s="18">
        <v>29773</v>
      </c>
      <c r="K204" s="18">
        <v>11331</v>
      </c>
      <c r="L204" s="19">
        <f t="shared" si="0"/>
        <v>3964100.03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f>230667.23</f>
        <v>230667.23</v>
      </c>
      <c r="G205" s="18">
        <f>129966.54</f>
        <v>129966.54</v>
      </c>
      <c r="H205" s="18">
        <f>32772.47</f>
        <v>32772.47</v>
      </c>
      <c r="I205" s="18">
        <f>3286.37</f>
        <v>3286.37</v>
      </c>
      <c r="J205" s="18"/>
      <c r="K205" s="18">
        <f>40652.5</f>
        <v>40652.5</v>
      </c>
      <c r="L205" s="19">
        <f t="shared" si="0"/>
        <v>437345.11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>
        <f>76571.93+56694.67+40177.78+390+1129.18+16291.47+1303900.12</f>
        <v>1495155.1500000001</v>
      </c>
      <c r="I206" s="18">
        <f>-15925.89+4137.95+321669.85+466684.81</f>
        <v>776566.72</v>
      </c>
      <c r="J206" s="18">
        <f>1266.3</f>
        <v>1266.3</v>
      </c>
      <c r="K206" s="18">
        <v>70</v>
      </c>
      <c r="L206" s="19">
        <f t="shared" si="0"/>
        <v>2273058.17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21065.76</f>
        <v>21065.759999999998</v>
      </c>
      <c r="G207" s="18">
        <f>8132.45</f>
        <v>8132.45</v>
      </c>
      <c r="H207" s="18">
        <f>314.42+2438196.1</f>
        <v>2438510.52</v>
      </c>
      <c r="I207" s="18">
        <v>99.36</v>
      </c>
      <c r="J207" s="18"/>
      <c r="K207" s="18"/>
      <c r="L207" s="19">
        <f t="shared" si="0"/>
        <v>2467808.09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f>217559.09</f>
        <v>217559.09</v>
      </c>
      <c r="G208" s="18">
        <f>103691.25</f>
        <v>103691.25</v>
      </c>
      <c r="H208" s="18">
        <f>206947.88+7509.93+6201.65</f>
        <v>220659.46</v>
      </c>
      <c r="I208" s="18">
        <f>25166.84+10849.54</f>
        <v>36016.380000000005</v>
      </c>
      <c r="J208" s="18">
        <f>105056.06+54456.1</f>
        <v>159512.16</v>
      </c>
      <c r="K208" s="18">
        <f>49</f>
        <v>49</v>
      </c>
      <c r="L208" s="19">
        <f>SUM(F208:K208)</f>
        <v>737487.34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34614433.590000004</v>
      </c>
      <c r="G210" s="41">
        <f t="shared" si="1"/>
        <v>16647870.23</v>
      </c>
      <c r="H210" s="41">
        <f t="shared" si="1"/>
        <v>7171892.5900000008</v>
      </c>
      <c r="I210" s="41">
        <f t="shared" si="1"/>
        <v>1164485.0900000003</v>
      </c>
      <c r="J210" s="41">
        <f t="shared" si="1"/>
        <v>207312.66</v>
      </c>
      <c r="K210" s="41">
        <f t="shared" si="1"/>
        <v>156225.35999999999</v>
      </c>
      <c r="L210" s="41">
        <f t="shared" si="1"/>
        <v>59962219.520000011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2532.46+9826816.03</f>
        <v>9829348.4900000002</v>
      </c>
      <c r="G214" s="18">
        <f>-1568518+5233328.4+355945.02</f>
        <v>4020755.4200000004</v>
      </c>
      <c r="H214" s="18">
        <f>139.6+570+4026.49+13738.5+811.52</f>
        <v>19286.11</v>
      </c>
      <c r="I214" s="18">
        <f>70171.8+6071.25</f>
        <v>76243.05</v>
      </c>
      <c r="J214" s="18"/>
      <c r="K214" s="18">
        <v>250</v>
      </c>
      <c r="L214" s="19">
        <f>SUM(F214:K214)</f>
        <v>13945883.07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109572.2+3975920.19</f>
        <v>4085492.39</v>
      </c>
      <c r="G215" s="18">
        <f>49957.93+2589860.38-355945.02</f>
        <v>2283873.29</v>
      </c>
      <c r="H215" s="18">
        <f>48609.17+67188.7+1374948.3+360.56</f>
        <v>1491106.73</v>
      </c>
      <c r="I215" s="18">
        <f>11616.07+21825.17+512.7</f>
        <v>33953.939999999995</v>
      </c>
      <c r="J215" s="18">
        <f>104.37+1517</f>
        <v>1621.37</v>
      </c>
      <c r="K215" s="18">
        <f>612.5</f>
        <v>612.5</v>
      </c>
      <c r="L215" s="19">
        <f>SUM(F215:K215)</f>
        <v>7896660.2200000007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f>1144.61+457628.42</f>
        <v>458773.02999999997</v>
      </c>
      <c r="G216" s="18">
        <f>459.58+254635.22</f>
        <v>255094.8</v>
      </c>
      <c r="H216" s="18"/>
      <c r="I216" s="18">
        <v>5650.52</v>
      </c>
      <c r="J216" s="18"/>
      <c r="K216" s="18"/>
      <c r="L216" s="19">
        <f>SUM(F216:K216)</f>
        <v>719518.35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4117.44+176797.7</f>
        <v>180915.14</v>
      </c>
      <c r="G217" s="18">
        <f>317.88+32819.79</f>
        <v>33137.67</v>
      </c>
      <c r="H217" s="18">
        <f>2676.01+12255.4</f>
        <v>14931.41</v>
      </c>
      <c r="I217" s="18">
        <f>363.87+12530.56</f>
        <v>12894.43</v>
      </c>
      <c r="J217" s="18"/>
      <c r="K217" s="18">
        <f>16125.72+860</f>
        <v>16985.72</v>
      </c>
      <c r="L217" s="19">
        <f>SUM(F217:K217)</f>
        <v>258864.37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26424.24-0.03+1036916.88</f>
        <v>1063341.0900000001</v>
      </c>
      <c r="G219" s="18">
        <f>15135.42+455963.66</f>
        <v>471099.07999999996</v>
      </c>
      <c r="H219" s="18">
        <f>128148.33+80377.48+2888.5+473.79+418765.27</f>
        <v>630653.37</v>
      </c>
      <c r="I219" s="18">
        <f>575.85</f>
        <v>575.85</v>
      </c>
      <c r="J219" s="18">
        <f>4124.75</f>
        <v>4124.75</v>
      </c>
      <c r="K219" s="18"/>
      <c r="L219" s="19">
        <f t="shared" ref="L219:L225" si="2">SUM(F219:K219)</f>
        <v>2169794.14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5937.94+262004.16</f>
        <v>267942.09999999998</v>
      </c>
      <c r="G220" s="18">
        <f>4117.54+106543.65+21907.75+11108.51</f>
        <v>143677.45000000001</v>
      </c>
      <c r="H220" s="18">
        <f>77.1</f>
        <v>77.099999999999994</v>
      </c>
      <c r="I220" s="18">
        <f>682.5+77.4+191.06+547.6</f>
        <v>1498.56</v>
      </c>
      <c r="J220" s="18"/>
      <c r="K220" s="18"/>
      <c r="L220" s="19">
        <f t="shared" si="2"/>
        <v>413195.20999999996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199980.1</f>
        <v>199980.1</v>
      </c>
      <c r="G221" s="18">
        <f>93647.86</f>
        <v>93647.86</v>
      </c>
      <c r="H221" s="18">
        <f>48940.57+1662.6</f>
        <v>50603.17</v>
      </c>
      <c r="I221" s="18">
        <f>412.32</f>
        <v>412.32</v>
      </c>
      <c r="J221" s="18"/>
      <c r="K221" s="18">
        <f>1777.22</f>
        <v>1777.22</v>
      </c>
      <c r="L221" s="19">
        <f t="shared" si="2"/>
        <v>346420.67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1366971.47</f>
        <v>1366971.47</v>
      </c>
      <c r="G222" s="18">
        <f>2.1+653349.3</f>
        <v>653351.4</v>
      </c>
      <c r="H222" s="18">
        <f>4047.86+27556.17+230</f>
        <v>31834.03</v>
      </c>
      <c r="I222" s="18"/>
      <c r="J222" s="18">
        <f>11676</f>
        <v>11676</v>
      </c>
      <c r="K222" s="18">
        <f>4670+252.53</f>
        <v>4922.53</v>
      </c>
      <c r="L222" s="19">
        <f t="shared" si="2"/>
        <v>2068755.4300000002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f>138400.34</f>
        <v>138400.34</v>
      </c>
      <c r="G223" s="18">
        <f>77979.93</f>
        <v>77979.929999999993</v>
      </c>
      <c r="H223" s="18">
        <f>19663.48</f>
        <v>19663.48</v>
      </c>
      <c r="I223" s="18">
        <f>1971.82</f>
        <v>1971.82</v>
      </c>
      <c r="J223" s="18"/>
      <c r="K223" s="18">
        <f>24391.5</f>
        <v>24391.5</v>
      </c>
      <c r="L223" s="19">
        <f t="shared" si="2"/>
        <v>262407.07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>
        <f>45943.16+24646.03+13207.48+7482.56+1303900.12</f>
        <v>1395179.35</v>
      </c>
      <c r="I224" s="18">
        <f>-9555.54+212.98+174342.61+308050.32</f>
        <v>473050.37</v>
      </c>
      <c r="J224" s="18">
        <f>759.78</f>
        <v>759.78</v>
      </c>
      <c r="K224" s="18">
        <v>42</v>
      </c>
      <c r="L224" s="19">
        <f t="shared" si="2"/>
        <v>1869031.5000000002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17020.26+0.01</f>
        <v>17020.269999999997</v>
      </c>
      <c r="G225" s="18">
        <v>6570.68</v>
      </c>
      <c r="H225" s="18">
        <f>254.04+1980295.83</f>
        <v>1980549.87</v>
      </c>
      <c r="I225" s="18">
        <v>62.64</v>
      </c>
      <c r="J225" s="18"/>
      <c r="K225" s="18"/>
      <c r="L225" s="19">
        <f t="shared" si="2"/>
        <v>2004203.46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f>130535.45</f>
        <v>130535.45</v>
      </c>
      <c r="G226" s="18">
        <f>62214.75</f>
        <v>62214.75</v>
      </c>
      <c r="H226" s="18">
        <f>124168.73+4200+5123.59+7776.25</f>
        <v>141268.57</v>
      </c>
      <c r="I226" s="18">
        <f>15100.1+1631.68</f>
        <v>16731.78</v>
      </c>
      <c r="J226" s="18">
        <f>63033.63+12632.98</f>
        <v>75666.61</v>
      </c>
      <c r="K226" s="18">
        <f>29.4</f>
        <v>29.4</v>
      </c>
      <c r="L226" s="19">
        <f>SUM(F226:K226)</f>
        <v>426446.56000000006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17738719.869999997</v>
      </c>
      <c r="G228" s="41">
        <f>SUM(G214:G227)</f>
        <v>8101402.330000001</v>
      </c>
      <c r="H228" s="41">
        <f>SUM(H214:H227)</f>
        <v>5775153.1900000004</v>
      </c>
      <c r="I228" s="41">
        <f>SUM(I214:I227)</f>
        <v>623045.28</v>
      </c>
      <c r="J228" s="41">
        <f>SUM(J214:J227)</f>
        <v>93848.51</v>
      </c>
      <c r="K228" s="41">
        <f t="shared" si="3"/>
        <v>49010.87</v>
      </c>
      <c r="L228" s="41">
        <f t="shared" si="3"/>
        <v>32381180.050000004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5306.11+14761028.06</f>
        <v>14766334.17</v>
      </c>
      <c r="G232" s="18">
        <f>-2171794.15+7180238.95+745789.58</f>
        <v>5754234.3800000008</v>
      </c>
      <c r="H232" s="18">
        <f>292.49+13084.59+1242.25+21355.44+4203.46+8305.06+63275+4754.31</f>
        <v>116512.59999999999</v>
      </c>
      <c r="I232" s="18">
        <f>143254.13+86242.9</f>
        <v>229497.03</v>
      </c>
      <c r="J232" s="18">
        <v>2499</v>
      </c>
      <c r="K232" s="18">
        <f>500+4216.05+0.01</f>
        <v>4716.0600000000004</v>
      </c>
      <c r="L232" s="19">
        <f>SUM(F232:K232)</f>
        <v>20873793.240000002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229579.84+3234173.31</f>
        <v>3463753.15</v>
      </c>
      <c r="G233" s="18">
        <f>104673.76+1994179.92-745789.58</f>
        <v>1353064.0999999996</v>
      </c>
      <c r="H233" s="18">
        <f>101847.78+175233.5+498.4+3274912.22+354.89</f>
        <v>3552846.7900000005</v>
      </c>
      <c r="I233" s="18">
        <f>24338.44+10751.11+26219.17</f>
        <v>61308.72</v>
      </c>
      <c r="J233" s="18">
        <f>218.68+589</f>
        <v>807.68000000000006</v>
      </c>
      <c r="K233" s="18">
        <f>1283.34</f>
        <v>1283.3399999999999</v>
      </c>
      <c r="L233" s="19">
        <f>SUM(F233:K233)</f>
        <v>8433063.7800000012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2398.24+2077334.25</f>
        <v>2079732.49</v>
      </c>
      <c r="G234" s="18">
        <f>962.92+1089330.15</f>
        <v>1090293.0699999998</v>
      </c>
      <c r="H234" s="18">
        <f>5461.66</f>
        <v>5461.66</v>
      </c>
      <c r="I234" s="18">
        <f>9759.54</f>
        <v>9759.5400000000009</v>
      </c>
      <c r="J234" s="18"/>
      <c r="K234" s="18"/>
      <c r="L234" s="19">
        <f>SUM(F234:K234)</f>
        <v>3185246.76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33313.8+808561.63</f>
        <v>841875.43</v>
      </c>
      <c r="G235" s="18">
        <f>2571.93+186734.85</f>
        <v>189306.78</v>
      </c>
      <c r="H235" s="18">
        <f>21651.31+103677.46+750.7</f>
        <v>126079.47</v>
      </c>
      <c r="I235" s="18">
        <f>2944.06+72960.59+14067.49+31202.97</f>
        <v>121175.11</v>
      </c>
      <c r="J235" s="18">
        <f>14927.18</f>
        <v>14927.18</v>
      </c>
      <c r="K235" s="18">
        <f>130471.74+59010+37535.86+32000</f>
        <v>259017.59999999998</v>
      </c>
      <c r="L235" s="19">
        <f>SUM(F235:K235)</f>
        <v>1552381.5700000003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55365.07+1434773.77</f>
        <v>1490138.84</v>
      </c>
      <c r="G237" s="18">
        <f>31712.31+728681.39</f>
        <v>760393.70000000007</v>
      </c>
      <c r="H237" s="18">
        <f>268501.25+374603.5+26556.27+299.59+877412.95</f>
        <v>1547373.56</v>
      </c>
      <c r="I237" s="18"/>
      <c r="J237" s="18">
        <v>4124.75</v>
      </c>
      <c r="K237" s="18"/>
      <c r="L237" s="19">
        <f t="shared" ref="L237:L243" si="4">SUM(F237:K237)</f>
        <v>3802030.85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12441.4+261744.47</f>
        <v>274185.87</v>
      </c>
      <c r="G238" s="18">
        <f>8627.22+128412.09+32837.21+14337.65</f>
        <v>184214.16999999998</v>
      </c>
      <c r="H238" s="18">
        <f>161.55+19979.26+2581</f>
        <v>22721.809999999998</v>
      </c>
      <c r="I238" s="18">
        <f>1430+634.93+16698.51+5049.37</f>
        <v>23812.809999999998</v>
      </c>
      <c r="J238" s="18"/>
      <c r="K238" s="18"/>
      <c r="L238" s="19">
        <f t="shared" si="4"/>
        <v>504934.66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419005.91</f>
        <v>419005.91</v>
      </c>
      <c r="G239" s="18">
        <f>196214.55</f>
        <v>196214.55</v>
      </c>
      <c r="H239" s="18">
        <f>102542.15</f>
        <v>102542.15</v>
      </c>
      <c r="I239" s="18">
        <f>863.91</f>
        <v>863.91</v>
      </c>
      <c r="J239" s="18"/>
      <c r="K239" s="18">
        <f>3723.69</f>
        <v>3723.69</v>
      </c>
      <c r="L239" s="19">
        <f t="shared" si="4"/>
        <v>722350.21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1970174.99</f>
        <v>1970174.99</v>
      </c>
      <c r="G240" s="18">
        <f>4.4+901999.96</f>
        <v>902004.36</v>
      </c>
      <c r="H240" s="18">
        <f>8481.22+2970+46758.89+3418.8+2660.29</f>
        <v>64289.200000000004</v>
      </c>
      <c r="I240" s="18">
        <f>3199.18</f>
        <v>3199.18</v>
      </c>
      <c r="J240" s="18">
        <v>2007</v>
      </c>
      <c r="K240" s="18">
        <f>20360+6137.04</f>
        <v>26497.040000000001</v>
      </c>
      <c r="L240" s="19">
        <f t="shared" si="4"/>
        <v>2968171.7700000005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f>289981.67</f>
        <v>289981.67</v>
      </c>
      <c r="G241" s="18">
        <f>163386.51</f>
        <v>163386.51</v>
      </c>
      <c r="H241" s="18">
        <f>41199.67</f>
        <v>41199.67</v>
      </c>
      <c r="I241" s="18">
        <f>4131.44</f>
        <v>4131.4399999999996</v>
      </c>
      <c r="J241" s="18"/>
      <c r="K241" s="18">
        <f>51106</f>
        <v>51106</v>
      </c>
      <c r="L241" s="19">
        <f t="shared" si="4"/>
        <v>549805.29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>
        <f>96261.85+41959+29710.91+68927.23+15558.85+1435+3911700.35</f>
        <v>4165553.19</v>
      </c>
      <c r="I242" s="18">
        <f>-20021.12+469.92+322416.96+655146.98+527.47</f>
        <v>958540.21</v>
      </c>
      <c r="J242" s="18">
        <f>1591.92</f>
        <v>1591.92</v>
      </c>
      <c r="K242" s="18">
        <v>88</v>
      </c>
      <c r="L242" s="19">
        <f t="shared" si="4"/>
        <v>5125773.32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8477.64</v>
      </c>
      <c r="G243" s="18">
        <v>3272.8</v>
      </c>
      <c r="H243" s="18">
        <f>126.54+1100461.61</f>
        <v>1100588.1500000001</v>
      </c>
      <c r="I243" s="18">
        <v>54</v>
      </c>
      <c r="J243" s="18"/>
      <c r="K243" s="18"/>
      <c r="L243" s="19">
        <f t="shared" si="4"/>
        <v>1112392.5900000001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f>273502.86</f>
        <v>273502.86</v>
      </c>
      <c r="G244" s="18">
        <f>130354.71</f>
        <v>130354.71</v>
      </c>
      <c r="H244" s="18">
        <f>260163.05+3046.21+2359</f>
        <v>265568.26</v>
      </c>
      <c r="I244" s="18">
        <f>31638.31+1223.76</f>
        <v>32862.07</v>
      </c>
      <c r="J244" s="18">
        <f>132070.47+17175.75</f>
        <v>149246.22</v>
      </c>
      <c r="K244" s="18">
        <f>61.6</f>
        <v>61.6</v>
      </c>
      <c r="L244" s="19">
        <f>SUM(F244:K244)</f>
        <v>851595.72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25877163.02</v>
      </c>
      <c r="G246" s="41">
        <f t="shared" si="5"/>
        <v>10726739.130000003</v>
      </c>
      <c r="H246" s="41">
        <f t="shared" si="5"/>
        <v>11110736.510000002</v>
      </c>
      <c r="I246" s="41">
        <f t="shared" si="5"/>
        <v>1445204.02</v>
      </c>
      <c r="J246" s="41">
        <f t="shared" si="5"/>
        <v>175203.75</v>
      </c>
      <c r="K246" s="41">
        <f t="shared" si="5"/>
        <v>346493.32999999996</v>
      </c>
      <c r="L246" s="41">
        <f t="shared" si="5"/>
        <v>49681539.760000005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78230316.480000004</v>
      </c>
      <c r="G256" s="41">
        <f t="shared" si="8"/>
        <v>35476011.690000005</v>
      </c>
      <c r="H256" s="41">
        <f t="shared" si="8"/>
        <v>24057782.290000003</v>
      </c>
      <c r="I256" s="41">
        <f t="shared" si="8"/>
        <v>3232734.3900000006</v>
      </c>
      <c r="J256" s="41">
        <f t="shared" si="8"/>
        <v>476364.92</v>
      </c>
      <c r="K256" s="41">
        <f t="shared" si="8"/>
        <v>551729.55999999994</v>
      </c>
      <c r="L256" s="41">
        <f t="shared" si="8"/>
        <v>142024939.33000004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6906690.5599999996</v>
      </c>
      <c r="L259" s="19">
        <f>SUM(F259:K259)</f>
        <v>6906690.5599999996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5571271.2400000002</v>
      </c>
      <c r="L260" s="19">
        <f>SUM(F260:K260)</f>
        <v>5571271.2400000002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44368</v>
      </c>
      <c r="L265" s="19">
        <f t="shared" si="9"/>
        <v>44368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12522329.800000001</v>
      </c>
      <c r="L269" s="41">
        <f t="shared" si="9"/>
        <v>12522329.800000001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78230316.480000004</v>
      </c>
      <c r="G270" s="42">
        <f t="shared" si="11"/>
        <v>35476011.690000005</v>
      </c>
      <c r="H270" s="42">
        <f t="shared" si="11"/>
        <v>24057782.290000003</v>
      </c>
      <c r="I270" s="42">
        <f t="shared" si="11"/>
        <v>3232734.3900000006</v>
      </c>
      <c r="J270" s="42">
        <f t="shared" si="11"/>
        <v>476364.92</v>
      </c>
      <c r="K270" s="42">
        <f t="shared" si="11"/>
        <v>13074059.360000001</v>
      </c>
      <c r="L270" s="42">
        <f t="shared" si="11"/>
        <v>154547269.13000005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823219.25</v>
      </c>
      <c r="G275" s="18">
        <v>402898.22</v>
      </c>
      <c r="H275" s="18">
        <v>35358.86</v>
      </c>
      <c r="I275" s="18">
        <v>20388.169999999998</v>
      </c>
      <c r="J275" s="18">
        <v>55768.9</v>
      </c>
      <c r="K275" s="18">
        <v>283.64999999999998</v>
      </c>
      <c r="L275" s="19">
        <f>SUM(F275:K275)</f>
        <v>1337917.0499999998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4947450.41</v>
      </c>
      <c r="G276" s="18">
        <v>2833660.68</v>
      </c>
      <c r="H276" s="18">
        <v>1330246.24</v>
      </c>
      <c r="I276" s="18">
        <v>327955.19</v>
      </c>
      <c r="J276" s="18">
        <v>402324.59</v>
      </c>
      <c r="K276" s="18">
        <v>868.09</v>
      </c>
      <c r="L276" s="19">
        <f>SUM(F276:K276)</f>
        <v>9842505.1999999993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504569.97</v>
      </c>
      <c r="G278" s="18">
        <v>116498.77</v>
      </c>
      <c r="H278" s="18">
        <v>16933.5</v>
      </c>
      <c r="I278" s="18">
        <v>20274.439999999999</v>
      </c>
      <c r="J278" s="18">
        <v>1649.57</v>
      </c>
      <c r="K278" s="18"/>
      <c r="L278" s="19">
        <f>SUM(F278:K278)</f>
        <v>659926.24999999988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421420.77</v>
      </c>
      <c r="G280" s="18">
        <v>227283.02</v>
      </c>
      <c r="H280" s="18">
        <v>33.4</v>
      </c>
      <c r="I280" s="18"/>
      <c r="J280" s="18"/>
      <c r="K280" s="18"/>
      <c r="L280" s="19">
        <f t="shared" ref="L280:L286" si="12">SUM(F280:K280)</f>
        <v>648737.19000000006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24659.37</v>
      </c>
      <c r="G281" s="18">
        <v>10277.48</v>
      </c>
      <c r="H281" s="18">
        <v>733.11</v>
      </c>
      <c r="I281" s="18">
        <v>411.77</v>
      </c>
      <c r="J281" s="18"/>
      <c r="K281" s="18"/>
      <c r="L281" s="19">
        <f t="shared" si="12"/>
        <v>36081.729999999996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146161.07</v>
      </c>
      <c r="G282" s="18">
        <v>70042.960000000006</v>
      </c>
      <c r="H282" s="18">
        <v>33703.440000000002</v>
      </c>
      <c r="I282" s="18">
        <v>79.540000000000006</v>
      </c>
      <c r="J282" s="18">
        <v>2783.93</v>
      </c>
      <c r="K282" s="18"/>
      <c r="L282" s="19">
        <f t="shared" si="12"/>
        <v>252770.94000000003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43775.839999999997</v>
      </c>
      <c r="G287" s="18">
        <v>12073.4</v>
      </c>
      <c r="H287" s="18">
        <v>1304.17</v>
      </c>
      <c r="I287" s="18">
        <v>280664.31</v>
      </c>
      <c r="J287" s="18">
        <v>131463</v>
      </c>
      <c r="K287" s="18"/>
      <c r="L287" s="19">
        <f>SUM(F287:K287)</f>
        <v>469280.72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6911256.6800000006</v>
      </c>
      <c r="G289" s="42">
        <f t="shared" si="13"/>
        <v>3672734.5300000003</v>
      </c>
      <c r="H289" s="42">
        <f t="shared" si="13"/>
        <v>1418312.72</v>
      </c>
      <c r="I289" s="42">
        <f t="shared" si="13"/>
        <v>649773.41999999993</v>
      </c>
      <c r="J289" s="42">
        <f t="shared" si="13"/>
        <v>593989.99</v>
      </c>
      <c r="K289" s="42">
        <f t="shared" si="13"/>
        <v>1151.74</v>
      </c>
      <c r="L289" s="41">
        <f t="shared" si="13"/>
        <v>13247219.08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10550</v>
      </c>
      <c r="G294" s="18">
        <v>3528.56</v>
      </c>
      <c r="H294" s="18">
        <v>29100.01</v>
      </c>
      <c r="I294" s="18">
        <v>4501.53</v>
      </c>
      <c r="J294" s="18">
        <v>22250.71</v>
      </c>
      <c r="K294" s="18">
        <v>189.1</v>
      </c>
      <c r="L294" s="19">
        <f>SUM(F294:K294)</f>
        <v>70119.91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1343954.86</v>
      </c>
      <c r="G295" s="18">
        <v>819891.42</v>
      </c>
      <c r="H295" s="18">
        <v>424159.86</v>
      </c>
      <c r="I295" s="18">
        <v>68574.12</v>
      </c>
      <c r="J295" s="18">
        <v>185341.92</v>
      </c>
      <c r="K295" s="18">
        <v>4.09</v>
      </c>
      <c r="L295" s="19">
        <f>SUM(F295:K295)</f>
        <v>2841926.27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204521.44</v>
      </c>
      <c r="G297" s="18">
        <v>49639.37</v>
      </c>
      <c r="H297" s="18">
        <v>13667.42</v>
      </c>
      <c r="I297" s="18">
        <v>7639.62</v>
      </c>
      <c r="J297" s="18">
        <v>180.73</v>
      </c>
      <c r="K297" s="18"/>
      <c r="L297" s="19">
        <f>SUM(F297:K297)</f>
        <v>275648.57999999996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70692.58</v>
      </c>
      <c r="G299" s="18">
        <v>33445.08</v>
      </c>
      <c r="H299" s="18">
        <v>14.15</v>
      </c>
      <c r="I299" s="18"/>
      <c r="J299" s="18"/>
      <c r="K299" s="18"/>
      <c r="L299" s="19">
        <f t="shared" ref="L299:L305" si="14">SUM(F299:K299)</f>
        <v>104151.81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14795.62</v>
      </c>
      <c r="G300" s="18">
        <v>5556.76</v>
      </c>
      <c r="H300" s="18">
        <v>439.87</v>
      </c>
      <c r="I300" s="18">
        <v>247.07</v>
      </c>
      <c r="J300" s="18"/>
      <c r="K300" s="18"/>
      <c r="L300" s="19">
        <f t="shared" si="14"/>
        <v>21039.32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38142.36</v>
      </c>
      <c r="G301" s="18">
        <v>18618.63</v>
      </c>
      <c r="H301" s="18">
        <v>15551.87</v>
      </c>
      <c r="I301" s="18">
        <v>54.93</v>
      </c>
      <c r="J301" s="18">
        <v>394.07</v>
      </c>
      <c r="K301" s="18"/>
      <c r="L301" s="19">
        <f t="shared" si="14"/>
        <v>72761.86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13516.91</v>
      </c>
      <c r="G306" s="18">
        <v>6482.9</v>
      </c>
      <c r="H306" s="18">
        <v>184.78</v>
      </c>
      <c r="I306" s="18">
        <v>64.72</v>
      </c>
      <c r="J306" s="18">
        <v>82039</v>
      </c>
      <c r="K306" s="18"/>
      <c r="L306" s="19">
        <f>SUM(F306:K306)</f>
        <v>102288.31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1696173.7700000003</v>
      </c>
      <c r="G308" s="42">
        <f t="shared" si="15"/>
        <v>937162.72000000009</v>
      </c>
      <c r="H308" s="42">
        <f t="shared" si="15"/>
        <v>483117.96</v>
      </c>
      <c r="I308" s="42">
        <f t="shared" si="15"/>
        <v>81081.989999999991</v>
      </c>
      <c r="J308" s="42">
        <f t="shared" si="15"/>
        <v>290206.43000000005</v>
      </c>
      <c r="K308" s="42">
        <f t="shared" si="15"/>
        <v>193.19</v>
      </c>
      <c r="L308" s="41">
        <f t="shared" si="15"/>
        <v>3487936.06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251055.9</v>
      </c>
      <c r="G313" s="18">
        <v>86148.78</v>
      </c>
      <c r="H313" s="18">
        <v>61114.84</v>
      </c>
      <c r="I313" s="18">
        <v>79041.149999999994</v>
      </c>
      <c r="J313" s="18">
        <v>168174.38</v>
      </c>
      <c r="K313" s="18">
        <v>51472.27</v>
      </c>
      <c r="L313" s="19">
        <f>SUM(F313:K313)</f>
        <v>697007.32000000007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1550110.33</v>
      </c>
      <c r="G314" s="18">
        <v>1096168.1599999999</v>
      </c>
      <c r="H314" s="18">
        <v>42072.6</v>
      </c>
      <c r="I314" s="18">
        <v>13662.5</v>
      </c>
      <c r="J314" s="18">
        <v>233.48</v>
      </c>
      <c r="K314" s="18"/>
      <c r="L314" s="19">
        <f>SUM(F314:K314)</f>
        <v>2702247.0700000003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8032.76</v>
      </c>
      <c r="G315" s="18">
        <v>5726.08</v>
      </c>
      <c r="H315" s="18">
        <v>91991.43</v>
      </c>
      <c r="I315" s="18">
        <v>164747.04999999999</v>
      </c>
      <c r="J315" s="18">
        <v>226795.03</v>
      </c>
      <c r="K315" s="18">
        <v>6240</v>
      </c>
      <c r="L315" s="19">
        <f>SUM(F315:K315)</f>
        <v>503532.35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258408.01</v>
      </c>
      <c r="G316" s="18">
        <v>42701.1</v>
      </c>
      <c r="H316" s="18">
        <v>53952.99</v>
      </c>
      <c r="I316" s="18">
        <v>20986.61</v>
      </c>
      <c r="J316" s="18">
        <v>2143.59</v>
      </c>
      <c r="K316" s="18"/>
      <c r="L316" s="19">
        <f>SUM(F316:K316)</f>
        <v>378192.3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84942.49</v>
      </c>
      <c r="G318" s="18">
        <v>47954.07</v>
      </c>
      <c r="H318" s="18">
        <v>16677.669999999998</v>
      </c>
      <c r="I318" s="18">
        <v>10723.71</v>
      </c>
      <c r="J318" s="18">
        <v>10043.209999999999</v>
      </c>
      <c r="K318" s="18"/>
      <c r="L318" s="19">
        <f t="shared" ref="L318:L324" si="16">SUM(F318:K318)</f>
        <v>170341.14999999997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39537.85</v>
      </c>
      <c r="G319" s="18">
        <v>13399.48</v>
      </c>
      <c r="H319" s="18">
        <v>75098.31</v>
      </c>
      <c r="I319" s="18">
        <v>1243.56</v>
      </c>
      <c r="J319" s="18">
        <v>8503.5499999999993</v>
      </c>
      <c r="K319" s="18"/>
      <c r="L319" s="19">
        <f t="shared" si="16"/>
        <v>137782.75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8301.89</v>
      </c>
      <c r="G320" s="18">
        <v>3004.89</v>
      </c>
      <c r="H320" s="18">
        <v>29563.54</v>
      </c>
      <c r="I320" s="18">
        <v>119.75</v>
      </c>
      <c r="J320" s="18"/>
      <c r="K320" s="18">
        <v>19976.34</v>
      </c>
      <c r="L320" s="19">
        <f t="shared" si="16"/>
        <v>60966.41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>
        <v>945</v>
      </c>
      <c r="I321" s="18">
        <v>1614</v>
      </c>
      <c r="J321" s="18"/>
      <c r="K321" s="18"/>
      <c r="L321" s="19">
        <f t="shared" si="16"/>
        <v>2559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28321.14</v>
      </c>
      <c r="G325" s="18">
        <v>13583.21</v>
      </c>
      <c r="H325" s="18">
        <v>387.16</v>
      </c>
      <c r="I325" s="18">
        <v>135.61000000000001</v>
      </c>
      <c r="J325" s="18">
        <v>306011.5</v>
      </c>
      <c r="K325" s="18"/>
      <c r="L325" s="19">
        <f>SUM(F325:K325)</f>
        <v>348438.62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2228710.3700000006</v>
      </c>
      <c r="G327" s="42">
        <f t="shared" si="17"/>
        <v>1308685.77</v>
      </c>
      <c r="H327" s="42">
        <f t="shared" si="17"/>
        <v>371803.53999999992</v>
      </c>
      <c r="I327" s="42">
        <f t="shared" si="17"/>
        <v>292273.94</v>
      </c>
      <c r="J327" s="42">
        <f t="shared" si="17"/>
        <v>721904.74</v>
      </c>
      <c r="K327" s="42">
        <f t="shared" si="17"/>
        <v>77688.61</v>
      </c>
      <c r="L327" s="41">
        <f t="shared" si="17"/>
        <v>5001066.9700000016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>
        <v>1007.7</v>
      </c>
      <c r="I331" s="18"/>
      <c r="J331" s="18"/>
      <c r="K331" s="18"/>
      <c r="L331" s="19">
        <f t="shared" ref="L331:L336" si="18">SUM(F331:K331)</f>
        <v>1007.7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365853.75</v>
      </c>
      <c r="G332" s="18">
        <v>36994.44</v>
      </c>
      <c r="H332" s="18">
        <v>14278.57</v>
      </c>
      <c r="I332" s="18">
        <v>35820.19</v>
      </c>
      <c r="J332" s="18">
        <v>1424.95</v>
      </c>
      <c r="K332" s="18"/>
      <c r="L332" s="19">
        <f t="shared" si="18"/>
        <v>454371.9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365853.75</v>
      </c>
      <c r="G336" s="41">
        <f t="shared" si="19"/>
        <v>36994.44</v>
      </c>
      <c r="H336" s="41">
        <f t="shared" si="19"/>
        <v>15286.27</v>
      </c>
      <c r="I336" s="41">
        <f t="shared" si="19"/>
        <v>35820.19</v>
      </c>
      <c r="J336" s="41">
        <f t="shared" si="19"/>
        <v>1424.95</v>
      </c>
      <c r="K336" s="41">
        <f t="shared" si="19"/>
        <v>0</v>
      </c>
      <c r="L336" s="41">
        <f t="shared" si="18"/>
        <v>455379.60000000003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11201994.570000002</v>
      </c>
      <c r="G337" s="41">
        <f t="shared" si="20"/>
        <v>5955577.46</v>
      </c>
      <c r="H337" s="41">
        <f t="shared" si="20"/>
        <v>2288520.4899999998</v>
      </c>
      <c r="I337" s="41">
        <f t="shared" si="20"/>
        <v>1058949.5399999998</v>
      </c>
      <c r="J337" s="41">
        <f t="shared" si="20"/>
        <v>1607526.11</v>
      </c>
      <c r="K337" s="41">
        <f t="shared" si="20"/>
        <v>79033.539999999994</v>
      </c>
      <c r="L337" s="41">
        <f t="shared" si="20"/>
        <v>22191601.710000005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192047.55</v>
      </c>
      <c r="L343" s="19">
        <f t="shared" ref="L343:L349" si="21">SUM(F343:K343)</f>
        <v>192047.55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192047.55</v>
      </c>
      <c r="L350" s="41">
        <f>SUM(L340:L349)</f>
        <v>192047.55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11201994.570000002</v>
      </c>
      <c r="G351" s="41">
        <f>G337</f>
        <v>5955577.46</v>
      </c>
      <c r="H351" s="41">
        <f>H337</f>
        <v>2288520.4899999998</v>
      </c>
      <c r="I351" s="41">
        <f>I337</f>
        <v>1058949.5399999998</v>
      </c>
      <c r="J351" s="41">
        <f>J337</f>
        <v>1607526.11</v>
      </c>
      <c r="K351" s="47">
        <f>K337+K350</f>
        <v>271081.08999999997</v>
      </c>
      <c r="L351" s="41">
        <f>L337+L350</f>
        <v>22383649.260000005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105751.08+22633.44+524029.57</f>
        <v>652414.09</v>
      </c>
      <c r="G357" s="18">
        <f>61798.93+11355.88+157331.29</f>
        <v>230486.1</v>
      </c>
      <c r="H357" s="18">
        <f>10993.24+5238.41+2867.26+580.16+169.81+1077.2+440.69+3015.8+12.83+10090.37+7642.78+684.82+9737.75+37349.04</f>
        <v>89900.160000000003</v>
      </c>
      <c r="I357" s="18">
        <f>5965.67+4092.45+4813.82+98202.67+0.01+914291.32</f>
        <v>1027365.94</v>
      </c>
      <c r="J357" s="18">
        <f>304.39+0.01</f>
        <v>304.39999999999998</v>
      </c>
      <c r="K357" s="18"/>
      <c r="L357" s="13">
        <f>SUM(F357:K357)</f>
        <v>2000470.69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82713.65+129014.09+397778.97</f>
        <v>609506.71</v>
      </c>
      <c r="G358" s="18">
        <f>48336.3+57414.06+154969.74</f>
        <v>260720.09999999998</v>
      </c>
      <c r="H358" s="18">
        <f>8598.41+4097.24+2242.64+453.77+132.82+842.54+344.69+2358.82+10.03+9880.37+12352.14+1597.3+4741+29212.71</f>
        <v>76864.479999999996</v>
      </c>
      <c r="I358" s="18">
        <f>4666.08+3200.93+3765.15+76809.63+528905.39</f>
        <v>617347.18000000005</v>
      </c>
      <c r="J358" s="18">
        <f>238.08</f>
        <v>238.08</v>
      </c>
      <c r="K358" s="18"/>
      <c r="L358" s="19">
        <f>SUM(F358:K358)</f>
        <v>1564676.55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94677.95+75920.52+552253.08</f>
        <v>722851.54999999993</v>
      </c>
      <c r="G359" s="18">
        <f>55328.01+37329.84+221614.8</f>
        <v>314272.65000000002</v>
      </c>
      <c r="H359" s="18">
        <f>9842.15+4689.9+2567.03+519.41+152.03+964.41+394.55+2700.01+11.49+0.01+62.16+10580.36+18744.68+1359.45+4587+33438.25</f>
        <v>90612.89</v>
      </c>
      <c r="I359" s="18">
        <f>5341.01+3663.93+4309.77+87919.93+561758.47</f>
        <v>662993.11</v>
      </c>
      <c r="J359" s="18">
        <v>272.52</v>
      </c>
      <c r="K359" s="18"/>
      <c r="L359" s="19">
        <f>SUM(F359:K359)</f>
        <v>1791002.7199999997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1984772.3499999996</v>
      </c>
      <c r="G361" s="47">
        <f t="shared" si="22"/>
        <v>805478.85</v>
      </c>
      <c r="H361" s="47">
        <f t="shared" si="22"/>
        <v>257377.53000000003</v>
      </c>
      <c r="I361" s="47">
        <f t="shared" si="22"/>
        <v>2307706.23</v>
      </c>
      <c r="J361" s="47">
        <f t="shared" si="22"/>
        <v>815</v>
      </c>
      <c r="K361" s="47">
        <f t="shared" si="22"/>
        <v>0</v>
      </c>
      <c r="L361" s="47">
        <f t="shared" si="22"/>
        <v>5356149.96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966567.92</v>
      </c>
      <c r="G366" s="18">
        <v>579015.86</v>
      </c>
      <c r="H366" s="18">
        <v>618999.38</v>
      </c>
      <c r="I366" s="56">
        <f>SUM(F366:H366)</f>
        <v>2164583.16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60798.02</v>
      </c>
      <c r="G367" s="63">
        <v>38331.32</v>
      </c>
      <c r="H367" s="63">
        <v>43993.73</v>
      </c>
      <c r="I367" s="56">
        <f>SUM(F367:H367)</f>
        <v>143123.07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1027365.9400000001</v>
      </c>
      <c r="G368" s="47">
        <f>SUM(G366:G367)</f>
        <v>617347.17999999993</v>
      </c>
      <c r="H368" s="47">
        <f>SUM(H366:H367)</f>
        <v>662993.11</v>
      </c>
      <c r="I368" s="47">
        <f>SUM(I366:I367)</f>
        <v>2307706.23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v>-41424</v>
      </c>
      <c r="I394" s="18"/>
      <c r="J394" s="24" t="s">
        <v>289</v>
      </c>
      <c r="K394" s="24" t="s">
        <v>289</v>
      </c>
      <c r="L394" s="56">
        <f t="shared" ref="L394:L399" si="26">SUM(F394:K394)</f>
        <v>-41424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4697</v>
      </c>
      <c r="I396" s="18"/>
      <c r="J396" s="24" t="s">
        <v>289</v>
      </c>
      <c r="K396" s="24" t="s">
        <v>289</v>
      </c>
      <c r="L396" s="56">
        <f t="shared" si="26"/>
        <v>4697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44368</v>
      </c>
      <c r="H399" s="18">
        <v>-496</v>
      </c>
      <c r="I399" s="18"/>
      <c r="J399" s="24" t="s">
        <v>289</v>
      </c>
      <c r="K399" s="24" t="s">
        <v>289</v>
      </c>
      <c r="L399" s="56">
        <f t="shared" si="26"/>
        <v>43872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44368</v>
      </c>
      <c r="H400" s="47">
        <f>SUM(H394:H399)</f>
        <v>-37223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7145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44368</v>
      </c>
      <c r="H407" s="47">
        <f>H392+H400+H406</f>
        <v>-37223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7145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>
        <v>1357927</v>
      </c>
      <c r="L420" s="56">
        <f t="shared" ref="L420:L425" si="29">SUM(F420:K420)</f>
        <v>1357927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870323</v>
      </c>
      <c r="L422" s="56">
        <f t="shared" si="29"/>
        <v>870323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35000</v>
      </c>
      <c r="L425" s="56">
        <f t="shared" si="29"/>
        <v>35000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2263250</v>
      </c>
      <c r="L426" s="47">
        <f t="shared" si="30"/>
        <v>2263250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2263250</v>
      </c>
      <c r="L433" s="47">
        <f t="shared" si="32"/>
        <v>2263250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3437661.66</v>
      </c>
      <c r="H441" s="18"/>
      <c r="I441" s="56">
        <f t="shared" si="33"/>
        <v>3437661.66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3437661.66</v>
      </c>
      <c r="H445" s="13">
        <f>SUM(H438:H444)</f>
        <v>0</v>
      </c>
      <c r="I445" s="13">
        <f>SUM(I438:I444)</f>
        <v>3437661.66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v>2183882</v>
      </c>
      <c r="H447" s="18"/>
      <c r="I447" s="56">
        <f>SUM(F447:H447)</f>
        <v>2183882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2183882</v>
      </c>
      <c r="H451" s="72">
        <f>SUM(H447:H450)</f>
        <v>0</v>
      </c>
      <c r="I451" s="72">
        <f>SUM(I447:I450)</f>
        <v>2183882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1253779.6599999999</v>
      </c>
      <c r="H458" s="18"/>
      <c r="I458" s="56">
        <f t="shared" si="34"/>
        <v>1253779.6599999999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1253779.6599999999</v>
      </c>
      <c r="H459" s="83">
        <f>SUM(H453:H458)</f>
        <v>0</v>
      </c>
      <c r="I459" s="83">
        <f>SUM(I453:I458)</f>
        <v>1253779.6599999999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3437661.66</v>
      </c>
      <c r="H460" s="42">
        <f>H451+H459</f>
        <v>0</v>
      </c>
      <c r="I460" s="42">
        <f>I451+I459</f>
        <v>3437661.66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1164391.6599999999</v>
      </c>
      <c r="G464" s="18">
        <v>243784</v>
      </c>
      <c r="H464" s="18">
        <v>847686.78</v>
      </c>
      <c r="I464" s="18"/>
      <c r="J464" s="18">
        <v>3509884.66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154433110.34</v>
      </c>
      <c r="G467" s="18">
        <v>5359125.6500000004</v>
      </c>
      <c r="H467" s="18">
        <v>22495530.140000001</v>
      </c>
      <c r="I467" s="18"/>
      <c r="J467" s="18">
        <v>7145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302.76</v>
      </c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154433413.09999999</v>
      </c>
      <c r="G469" s="53">
        <f>SUM(G467:G468)</f>
        <v>5359125.6500000004</v>
      </c>
      <c r="H469" s="53">
        <f>SUM(H467:H468)</f>
        <v>22495530.140000001</v>
      </c>
      <c r="I469" s="53">
        <f>SUM(I467:I468)</f>
        <v>0</v>
      </c>
      <c r="J469" s="53">
        <f>SUM(J467:J468)</f>
        <v>7145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154547269.13</v>
      </c>
      <c r="G471" s="18">
        <v>5356149.96</v>
      </c>
      <c r="H471" s="18">
        <v>22383649.260000002</v>
      </c>
      <c r="I471" s="18"/>
      <c r="J471" s="18">
        <v>2263250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154547269.13</v>
      </c>
      <c r="G473" s="53">
        <f>SUM(G471:G472)</f>
        <v>5356149.96</v>
      </c>
      <c r="H473" s="53">
        <f>SUM(H471:H472)</f>
        <v>22383649.260000002</v>
      </c>
      <c r="I473" s="53">
        <f>SUM(I471:I472)</f>
        <v>0</v>
      </c>
      <c r="J473" s="53">
        <f>SUM(J471:J472)</f>
        <v>2263250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1050535.6299999952</v>
      </c>
      <c r="G475" s="53">
        <f>(G464+G469)- G473</f>
        <v>246759.69000000041</v>
      </c>
      <c r="H475" s="53">
        <f>(H464+H469)- H473</f>
        <v>959567.66000000015</v>
      </c>
      <c r="I475" s="53">
        <f>(I464+I469)- I473</f>
        <v>0</v>
      </c>
      <c r="J475" s="53">
        <f>(J464+J469)- J473</f>
        <v>1253779.6600000001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 t="s">
        <v>909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6679320.1200000001</v>
      </c>
      <c r="G506" s="144">
        <v>1036994.45</v>
      </c>
      <c r="H506" s="144">
        <v>776934.40000000002</v>
      </c>
      <c r="I506" s="144">
        <v>6939380.1699999999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3442.52+6271409.53+20475.27+823018.23+372991.8+50934.77+40036.33+156932.1+61312.7+6381.93+194349.59+143510.13+36139.96+5893.13+8912.02</f>
        <v>8195740.009999997</v>
      </c>
      <c r="G520" s="18">
        <f>2719.32+5062223.32+50+5618.4+483744.99+225952.32+88397.78+14586.66+70181.11+31426.81+3158.17+90195.21+85879.57+32977.72+450.8+6447.27-593241.7</f>
        <v>5610767.7500000009</v>
      </c>
      <c r="H520" s="18">
        <f>373+145614.64+1193.26+265138.51+3131.48+4572.5+2596.4+100000+3971.52+58529.58+260.77+2500+160009.34+574545.29+50+74640.32+5486.78+43054.47+163.86+704.8+5580.33+36.75+336.97</f>
        <v>1452490.5700000003</v>
      </c>
      <c r="I520" s="18">
        <f>41530.98+5224.16+99.99+530.37+44.54+468.74+317.8+17266.45+1177.31+3294.79+569.48</f>
        <v>70524.609999999986</v>
      </c>
      <c r="J520" s="18">
        <f>5410+173.95</f>
        <v>5583.95</v>
      </c>
      <c r="K520" s="18">
        <f>140+389.94+1020.84</f>
        <v>1550.7800000000002</v>
      </c>
      <c r="L520" s="88">
        <f>SUM(F520:K520)</f>
        <v>15336657.669999996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5841.68+3120205.85+390.78+359221.09+394019.9+796+197105.66+143569.48+116609.76+86106.08+21683.98+3535.88+5347.21</f>
        <v>4454433.3500000006</v>
      </c>
      <c r="G521" s="18">
        <f>5266.81+2140215.25+107.23+203673.08+242131.99+86762.28+109272.17+54117.13+51527.74+19786.63+270.48+3868.36-355945.02</f>
        <v>2561054.13</v>
      </c>
      <c r="H521" s="18">
        <f>340+60302.14+213954.33+837.4+2098.06+81609.89+3930+394008.73+441923.96+243451.39+44784.19+3292.07+25832.68+98.32+422.88+3348.2+22.05+202.18</f>
        <v>1520458.4699999997</v>
      </c>
      <c r="I521" s="18">
        <f>54.7+21602.52+512.7+710.54+222.65+10359.87+706.39+1976.87+341.69</f>
        <v>36487.930000000008</v>
      </c>
      <c r="J521" s="18">
        <f>1517+104.37</f>
        <v>1621.37</v>
      </c>
      <c r="K521" s="18">
        <v>612.5</v>
      </c>
      <c r="L521" s="88">
        <f>SUM(F521:K521)</f>
        <v>8574667.7499999981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19600.76+2530469.72+46337.56+361949.3+505234.16+19890.02+46151.4+141410.35+53486.18+244325.2+180412.72+45433.09+7408.49+11203.67</f>
        <v>4213312.620000001</v>
      </c>
      <c r="G522" s="18">
        <f>8264.54+1725344.79+149+12715.02+252107.3+323920.91+24588.1+26414.68+114608.15+33042.15+113388.27+107962.9+41457.72+566.71+8105.15-745789.58</f>
        <v>2046845.81</v>
      </c>
      <c r="H522" s="18">
        <f>169535.6+498.4+869365.81+245.48+5187.9+131945.58+20.59+1036717.09+1081074.85+155808.89+158.19+93833.54+6897.66+54125.61+205.99+886.03+7015.27+46.2+423.63</f>
        <v>3613992.3100000005</v>
      </c>
      <c r="I522" s="18">
        <f>10513.19+16363.75+21706.38+1480.04+4142.02+715.91</f>
        <v>54921.290000000008</v>
      </c>
      <c r="J522" s="18">
        <f>589+218.68</f>
        <v>807.68000000000006</v>
      </c>
      <c r="K522" s="18">
        <v>1283.3399999999999</v>
      </c>
      <c r="L522" s="88">
        <f>SUM(F522:K522)</f>
        <v>9931163.0500000007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16863485.979999997</v>
      </c>
      <c r="G523" s="108">
        <f t="shared" ref="G523:L523" si="36">SUM(G520:G522)</f>
        <v>10218667.690000001</v>
      </c>
      <c r="H523" s="108">
        <f t="shared" si="36"/>
        <v>6586941.3500000006</v>
      </c>
      <c r="I523" s="108">
        <f t="shared" si="36"/>
        <v>161933.83000000002</v>
      </c>
      <c r="J523" s="108">
        <f t="shared" si="36"/>
        <v>8013</v>
      </c>
      <c r="K523" s="108">
        <f t="shared" si="36"/>
        <v>3446.62</v>
      </c>
      <c r="L523" s="89">
        <f t="shared" si="36"/>
        <v>33842488.469999999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10181.83+412114.16+862602.92+438260.83+113786.92</f>
        <v>1836946.6600000001</v>
      </c>
      <c r="G525" s="18">
        <f>6500.76+201706.9+189.99+379331.27+225+261255.98+1016.21+9297.92+57184.35</f>
        <v>916708.38</v>
      </c>
      <c r="H525" s="18">
        <f>177332.86+49625+378749.12+2973.38+485.84+1415.3+1459.2+198.16+213568.07+32.29</f>
        <v>825839.22</v>
      </c>
      <c r="I525" s="18">
        <f>1212.6+411.78</f>
        <v>1624.3799999999999</v>
      </c>
      <c r="J525" s="18">
        <v>12374.25</v>
      </c>
      <c r="K525" s="18"/>
      <c r="L525" s="88">
        <f>SUM(F525:K525)</f>
        <v>3593492.8899999997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10345.14+180545.56+101385.38+48961.5+40037.36+68272.15</f>
        <v>449547.08999999997</v>
      </c>
      <c r="G526" s="18">
        <f>6612.37+93816.91+39848.44+27700.17+2159.49+5607.5+31466.53+34310.61</f>
        <v>241522.02000000002</v>
      </c>
      <c r="H526" s="18">
        <f>64063.47+4396+218.02+11918.01+247.5+2641+25.95+128140.84+19.37</f>
        <v>211670.15999999997</v>
      </c>
      <c r="I526" s="18">
        <f>575.85+247.07</f>
        <v>822.92000000000007</v>
      </c>
      <c r="J526" s="18">
        <v>4124.75</v>
      </c>
      <c r="K526" s="18"/>
      <c r="L526" s="88">
        <f>SUM(F526:K526)</f>
        <v>907686.94000000006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53353.68+2300+79373.26+66436.3+57932.08+4448.64+143046.41</f>
        <v>406890.37</v>
      </c>
      <c r="G527" s="18">
        <f>38796.06+33771.92+26957.82+27689.07+1527.5+6440+825+3496.62+71888.89</f>
        <v>211392.88</v>
      </c>
      <c r="H527" s="18">
        <f>21859.69+196989.11+5953+114094.42+52351.75+1111.52+299.59+1848.96+2915.22+1736.1+25.96+268485.57+40.59</f>
        <v>667711.48</v>
      </c>
      <c r="I527" s="18">
        <f>517.65</f>
        <v>517.65</v>
      </c>
      <c r="J527" s="18">
        <v>4124.75</v>
      </c>
      <c r="K527" s="18"/>
      <c r="L527" s="88">
        <f>SUM(F527:K527)</f>
        <v>1290637.1299999999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2693384.12</v>
      </c>
      <c r="G528" s="89">
        <f t="shared" ref="G528:L528" si="37">SUM(G525:G527)</f>
        <v>1369623.2799999998</v>
      </c>
      <c r="H528" s="89">
        <f t="shared" si="37"/>
        <v>1705220.8599999999</v>
      </c>
      <c r="I528" s="89">
        <f t="shared" si="37"/>
        <v>2964.9500000000003</v>
      </c>
      <c r="J528" s="89">
        <f t="shared" si="37"/>
        <v>20623.75</v>
      </c>
      <c r="K528" s="89">
        <f t="shared" si="37"/>
        <v>0</v>
      </c>
      <c r="L528" s="89">
        <f t="shared" si="37"/>
        <v>5791816.96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114765.8</v>
      </c>
      <c r="G530" s="18">
        <v>40278.21</v>
      </c>
      <c r="H530" s="18">
        <f>201.71</f>
        <v>201.71</v>
      </c>
      <c r="I530" s="18"/>
      <c r="J530" s="18"/>
      <c r="K530" s="18"/>
      <c r="L530" s="88">
        <f>SUM(F530:K530)</f>
        <v>155245.72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68859.48</v>
      </c>
      <c r="G531" s="18">
        <v>24166.92</v>
      </c>
      <c r="H531" s="18">
        <f>121.03</f>
        <v>121.03</v>
      </c>
      <c r="I531" s="18"/>
      <c r="J531" s="18"/>
      <c r="K531" s="18"/>
      <c r="L531" s="88">
        <f>SUM(F531:K531)</f>
        <v>93147.43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144277</v>
      </c>
      <c r="G532" s="18">
        <v>50635.46</v>
      </c>
      <c r="H532" s="18">
        <f>253.57</f>
        <v>253.57</v>
      </c>
      <c r="I532" s="18"/>
      <c r="J532" s="18"/>
      <c r="K532" s="18"/>
      <c r="L532" s="88">
        <f>SUM(F532:K532)</f>
        <v>195166.03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327902.28000000003</v>
      </c>
      <c r="G533" s="89">
        <f t="shared" ref="G533:L533" si="38">SUM(G530:G532)</f>
        <v>115080.59</v>
      </c>
      <c r="H533" s="89">
        <f t="shared" si="38"/>
        <v>576.30999999999995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443559.18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28043.58</v>
      </c>
      <c r="I535" s="18"/>
      <c r="J535" s="18"/>
      <c r="K535" s="18"/>
      <c r="L535" s="88">
        <f>SUM(F535:K535)</f>
        <v>28043.58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16826.150000000001</v>
      </c>
      <c r="I536" s="18"/>
      <c r="J536" s="18"/>
      <c r="K536" s="18"/>
      <c r="L536" s="88">
        <f>SUM(F536:K536)</f>
        <v>16826.150000000001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35254.78</v>
      </c>
      <c r="I537" s="18"/>
      <c r="J537" s="18"/>
      <c r="K537" s="18"/>
      <c r="L537" s="88">
        <f>SUM(F537:K537)</f>
        <v>35254.78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80124.510000000009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80124.510000000009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11976.07+4623.37+178.75+1386136.1</f>
        <v>1402914.29</v>
      </c>
      <c r="I540" s="18"/>
      <c r="J540" s="18"/>
      <c r="K540" s="18"/>
      <c r="L540" s="88">
        <f>SUM(F540:K540)</f>
        <v>1402914.29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f>6552.01+2529.41+97.79+758334.03</f>
        <v>767513.24</v>
      </c>
      <c r="I541" s="18"/>
      <c r="J541" s="18"/>
      <c r="K541" s="18"/>
      <c r="L541" s="88">
        <f>SUM(F541:K541)</f>
        <v>767513.24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6236.07+2407.44+93.08+721790.97</f>
        <v>730527.55999999994</v>
      </c>
      <c r="I542" s="18"/>
      <c r="J542" s="18"/>
      <c r="K542" s="18"/>
      <c r="L542" s="88">
        <f>SUM(F542:K542)</f>
        <v>730527.55999999994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2900955.0900000003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2900955.0900000003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19884772.379999999</v>
      </c>
      <c r="G544" s="89">
        <f t="shared" ref="G544:L544" si="41">G523+G528+G533+G538+G543</f>
        <v>11703371.560000001</v>
      </c>
      <c r="H544" s="89">
        <f t="shared" si="41"/>
        <v>11273818.120000001</v>
      </c>
      <c r="I544" s="89">
        <f t="shared" si="41"/>
        <v>164898.78000000003</v>
      </c>
      <c r="J544" s="89">
        <f t="shared" si="41"/>
        <v>28636.75</v>
      </c>
      <c r="K544" s="89">
        <f t="shared" si="41"/>
        <v>3446.62</v>
      </c>
      <c r="L544" s="89">
        <f t="shared" si="41"/>
        <v>43058944.210000001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15336657.669999996</v>
      </c>
      <c r="G548" s="87">
        <f>L525</f>
        <v>3593492.8899999997</v>
      </c>
      <c r="H548" s="87">
        <f>L530</f>
        <v>155245.72</v>
      </c>
      <c r="I548" s="87">
        <f>L535</f>
        <v>28043.58</v>
      </c>
      <c r="J548" s="87">
        <f>L540</f>
        <v>1402914.29</v>
      </c>
      <c r="K548" s="87">
        <f>SUM(F548:J548)</f>
        <v>20516354.149999991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8574667.7499999981</v>
      </c>
      <c r="G549" s="87">
        <f>L526</f>
        <v>907686.94000000006</v>
      </c>
      <c r="H549" s="87">
        <f>L531</f>
        <v>93147.43</v>
      </c>
      <c r="I549" s="87">
        <f>L536</f>
        <v>16826.150000000001</v>
      </c>
      <c r="J549" s="87">
        <f>L541</f>
        <v>767513.24</v>
      </c>
      <c r="K549" s="87">
        <f>SUM(F549:J549)</f>
        <v>10359841.509999998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9931163.0500000007</v>
      </c>
      <c r="G550" s="87">
        <f>L527</f>
        <v>1290637.1299999999</v>
      </c>
      <c r="H550" s="87">
        <f>L532</f>
        <v>195166.03</v>
      </c>
      <c r="I550" s="87">
        <f>L537</f>
        <v>35254.78</v>
      </c>
      <c r="J550" s="87">
        <f>L542</f>
        <v>730527.55999999994</v>
      </c>
      <c r="K550" s="87">
        <f>SUM(F550:J550)</f>
        <v>12182748.549999999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33842488.469999999</v>
      </c>
      <c r="G551" s="89">
        <f t="shared" si="42"/>
        <v>5791816.96</v>
      </c>
      <c r="H551" s="89">
        <f t="shared" si="42"/>
        <v>443559.18</v>
      </c>
      <c r="I551" s="89">
        <f t="shared" si="42"/>
        <v>80124.510000000009</v>
      </c>
      <c r="J551" s="89">
        <f t="shared" si="42"/>
        <v>2900955.0900000003</v>
      </c>
      <c r="K551" s="89">
        <f t="shared" si="42"/>
        <v>43058944.209999986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f>559909.18+2859511.9</f>
        <v>3419421.08</v>
      </c>
      <c r="G556" s="18">
        <f>255640.47+1316408.66</f>
        <v>1572049.13</v>
      </c>
      <c r="H556" s="18">
        <f>881817.36+201256.74+535.5+10443.44</f>
        <v>1094053.04</v>
      </c>
      <c r="I556" s="18">
        <f>61264.11+135462.06+97663.94</f>
        <v>294390.11</v>
      </c>
      <c r="J556" s="18">
        <f>5828.66+391561.77+3252</f>
        <v>400642.43</v>
      </c>
      <c r="K556" s="18">
        <f>28.89+449.26</f>
        <v>478.15</v>
      </c>
      <c r="L556" s="88">
        <f>SUM(F556:K556)</f>
        <v>6781033.9400000004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f>79282.88+167016.23</f>
        <v>246299.11000000002</v>
      </c>
      <c r="G557" s="18">
        <f>36198.57+59167.09</f>
        <v>95365.66</v>
      </c>
      <c r="H557" s="18">
        <f>124864.94+243882+7800+89.91</f>
        <v>376636.85</v>
      </c>
      <c r="I557" s="18">
        <f>8674.97+42474.38+5573.69</f>
        <v>56723.040000000001</v>
      </c>
      <c r="J557" s="18">
        <f>825.34+184337.22</f>
        <v>185162.56</v>
      </c>
      <c r="K557" s="18">
        <f>4.09</f>
        <v>4.09</v>
      </c>
      <c r="L557" s="88">
        <f>SUM(F557:K557)</f>
        <v>960191.30999999994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3665720.19</v>
      </c>
      <c r="G559" s="108">
        <f t="shared" si="43"/>
        <v>1667414.7899999998</v>
      </c>
      <c r="H559" s="108">
        <f t="shared" si="43"/>
        <v>1470689.8900000001</v>
      </c>
      <c r="I559" s="108">
        <f t="shared" si="43"/>
        <v>351113.14999999997</v>
      </c>
      <c r="J559" s="108">
        <f t="shared" si="43"/>
        <v>585804.99</v>
      </c>
      <c r="K559" s="108">
        <f t="shared" si="43"/>
        <v>482.23999999999995</v>
      </c>
      <c r="L559" s="89">
        <f t="shared" si="43"/>
        <v>7741225.25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f>71190.06+1726795.07</f>
        <v>1797985.1300000001</v>
      </c>
      <c r="G561" s="18">
        <f>45615.05+1017251.58</f>
        <v>1062866.6299999999</v>
      </c>
      <c r="H561" s="18">
        <f>31165.4+2735.24</f>
        <v>33900.639999999999</v>
      </c>
      <c r="I561" s="18">
        <f>26479.02+31.68</f>
        <v>26510.7</v>
      </c>
      <c r="J561" s="18">
        <f>480.59</f>
        <v>480.59</v>
      </c>
      <c r="K561" s="18"/>
      <c r="L561" s="88">
        <f>SUM(F561:K561)</f>
        <v>2921743.69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f>27150.27+652741.08</f>
        <v>679891.35</v>
      </c>
      <c r="G562" s="18">
        <f>17396.54+393768.47</f>
        <v>411165.00999999995</v>
      </c>
      <c r="H562" s="18">
        <f>11885.78+62.5+1000</f>
        <v>12948.28</v>
      </c>
      <c r="I562" s="18">
        <f>10098.5</f>
        <v>10098.5</v>
      </c>
      <c r="J562" s="18">
        <v>183.29</v>
      </c>
      <c r="K562" s="18"/>
      <c r="L562" s="88">
        <f>SUM(F562:K562)</f>
        <v>1114286.43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f>34680.35+884617.16</f>
        <v>919297.51</v>
      </c>
      <c r="G563" s="18">
        <f>22221.44+442805.22</f>
        <v>465026.66</v>
      </c>
      <c r="H563" s="18">
        <f>15182.28+510+88.82</f>
        <v>15781.1</v>
      </c>
      <c r="I563" s="18">
        <f>12899.3+237.92+9855.42</f>
        <v>22992.639999999999</v>
      </c>
      <c r="J563" s="18">
        <f>234.12</f>
        <v>234.12</v>
      </c>
      <c r="K563" s="18"/>
      <c r="L563" s="88">
        <f>SUM(F563:K563)</f>
        <v>1423332.03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3397173.99</v>
      </c>
      <c r="G564" s="89">
        <f t="shared" si="44"/>
        <v>1939058.2999999998</v>
      </c>
      <c r="H564" s="89">
        <f t="shared" si="44"/>
        <v>62630.02</v>
      </c>
      <c r="I564" s="89">
        <f t="shared" si="44"/>
        <v>59601.84</v>
      </c>
      <c r="J564" s="89">
        <f t="shared" si="44"/>
        <v>898</v>
      </c>
      <c r="K564" s="89">
        <f t="shared" si="44"/>
        <v>0</v>
      </c>
      <c r="L564" s="89">
        <f t="shared" si="44"/>
        <v>5459362.1500000004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7062894.1799999997</v>
      </c>
      <c r="G570" s="89">
        <f t="shared" ref="G570:L570" si="46">G559+G564+G569</f>
        <v>3606473.09</v>
      </c>
      <c r="H570" s="89">
        <f t="shared" si="46"/>
        <v>1533319.9100000001</v>
      </c>
      <c r="I570" s="89">
        <f t="shared" si="46"/>
        <v>410714.99</v>
      </c>
      <c r="J570" s="89">
        <f t="shared" si="46"/>
        <v>586702.99</v>
      </c>
      <c r="K570" s="89">
        <f t="shared" si="46"/>
        <v>482.23999999999995</v>
      </c>
      <c r="L570" s="89">
        <f t="shared" si="46"/>
        <v>13200587.4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130346.01+574545.29</f>
        <v>704891.3</v>
      </c>
      <c r="G578" s="18">
        <f>134035.25+736915.19</f>
        <v>870950.44</v>
      </c>
      <c r="H578" s="18">
        <f>143685.91+1954718.27</f>
        <v>2098404.1800000002</v>
      </c>
      <c r="I578" s="87">
        <f t="shared" si="47"/>
        <v>3674245.92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365747.22</v>
      </c>
      <c r="G581" s="18">
        <v>506886.36</v>
      </c>
      <c r="H581" s="18">
        <f>1266339.31+980</f>
        <v>1267319.31</v>
      </c>
      <c r="I581" s="87">
        <f t="shared" si="47"/>
        <v>2139952.89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9089.69+3509.08+135.67+1052060+99.36</f>
        <v>1064893.8</v>
      </c>
      <c r="I590" s="18">
        <f>10468.25+4041.28+156.25+1211602.2+62.64</f>
        <v>1226330.6199999999</v>
      </c>
      <c r="J590" s="18">
        <f>2241.57+865.36+33.46+259449.54+54</f>
        <v>262643.93</v>
      </c>
      <c r="K590" s="104">
        <f t="shared" ref="K590:K596" si="48">SUM(H590:J590)</f>
        <v>2553868.35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11976.07+4623.37+178.75+1386136.1</f>
        <v>1402914.29</v>
      </c>
      <c r="I591" s="18">
        <f>6552.01+2529.41+97.79+758334.03</f>
        <v>767513.24</v>
      </c>
      <c r="J591" s="18">
        <f>6236.07+2407.44+93.08+721790.97</f>
        <v>730527.55999999994</v>
      </c>
      <c r="K591" s="104">
        <f t="shared" si="48"/>
        <v>2900955.0900000003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8994.6</v>
      </c>
      <c r="J593" s="18">
        <v>109175.4</v>
      </c>
      <c r="K593" s="104">
        <f t="shared" si="48"/>
        <v>118170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>
        <v>1365</v>
      </c>
      <c r="J594" s="18">
        <f>6408.65+3637.05</f>
        <v>10045.700000000001</v>
      </c>
      <c r="K594" s="104">
        <f t="shared" si="48"/>
        <v>11410.7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2467808.09</v>
      </c>
      <c r="I597" s="108">
        <f>SUM(I590:I596)</f>
        <v>2004203.46</v>
      </c>
      <c r="J597" s="108">
        <f>SUM(J590:J596)</f>
        <v>1112392.5899999999</v>
      </c>
      <c r="K597" s="108">
        <f>SUM(K590:K596)</f>
        <v>5584404.1400000006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111507.02+685060.1-285.25</f>
        <v>796281.87</v>
      </c>
      <c r="I603" s="18">
        <f>66904.2+318326.06-171.15</f>
        <v>385059.11</v>
      </c>
      <c r="J603" s="18">
        <f>761303.45+140180.25+1424.95-358.6</f>
        <v>902550.04999999993</v>
      </c>
      <c r="K603" s="104">
        <f>SUM(H603:J603)</f>
        <v>2083891.0299999998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796281.87</v>
      </c>
      <c r="I604" s="108">
        <f>SUM(I601:I603)</f>
        <v>385059.11</v>
      </c>
      <c r="J604" s="108">
        <f>SUM(J601:J603)</f>
        <v>902550.04999999993</v>
      </c>
      <c r="K604" s="108">
        <f>SUM(K601:K603)</f>
        <v>2083891.0299999998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119026.63</v>
      </c>
      <c r="G610" s="18">
        <v>21331.96</v>
      </c>
      <c r="H610" s="18">
        <f>21456.71+99941.03+28102.7+13.41</f>
        <v>149513.85</v>
      </c>
      <c r="I610" s="18">
        <v>287.95</v>
      </c>
      <c r="J610" s="18"/>
      <c r="K610" s="18"/>
      <c r="L610" s="88">
        <f>SUM(F610:K610)</f>
        <v>290160.39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47053.97</v>
      </c>
      <c r="G611" s="18">
        <v>8027.01</v>
      </c>
      <c r="H611" s="18">
        <f>7836.74+34405.93+9674.7+4.62</f>
        <v>51921.99</v>
      </c>
      <c r="I611" s="18">
        <v>228.78</v>
      </c>
      <c r="J611" s="18"/>
      <c r="K611" s="18"/>
      <c r="L611" s="88">
        <f>SUM(F611:K611)</f>
        <v>107231.75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56253.599999999999</v>
      </c>
      <c r="G612" s="18">
        <v>9299.18</v>
      </c>
      <c r="H612" s="18">
        <f>7381.49+29490.8+8292.6+3.96</f>
        <v>45168.85</v>
      </c>
      <c r="I612" s="18">
        <v>387.48</v>
      </c>
      <c r="J612" s="18"/>
      <c r="K612" s="18"/>
      <c r="L612" s="88">
        <f>SUM(F612:K612)</f>
        <v>111109.11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222334.2</v>
      </c>
      <c r="G613" s="108">
        <f t="shared" si="49"/>
        <v>38658.15</v>
      </c>
      <c r="H613" s="108">
        <f t="shared" si="49"/>
        <v>246604.69</v>
      </c>
      <c r="I613" s="108">
        <f t="shared" si="49"/>
        <v>904.21</v>
      </c>
      <c r="J613" s="108">
        <f t="shared" si="49"/>
        <v>0</v>
      </c>
      <c r="K613" s="108">
        <f t="shared" si="49"/>
        <v>0</v>
      </c>
      <c r="L613" s="89">
        <f t="shared" si="49"/>
        <v>508501.25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23455279.989999998</v>
      </c>
      <c r="H616" s="109">
        <f>SUM(F51)</f>
        <v>23455279.989999998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883527.67</v>
      </c>
      <c r="H617" s="109">
        <f>SUM(G51)</f>
        <v>883527.66999999993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3432727.18</v>
      </c>
      <c r="H618" s="109">
        <f>SUM(H51)</f>
        <v>3432727.18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3437661.66</v>
      </c>
      <c r="H620" s="109">
        <f>SUM(J51)</f>
        <v>3437661.66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1050535.6299999999</v>
      </c>
      <c r="H621" s="109">
        <f>F475</f>
        <v>1050535.6299999952</v>
      </c>
      <c r="I621" s="121" t="s">
        <v>101</v>
      </c>
      <c r="J621" s="109">
        <f t="shared" ref="J621:J654" si="50">G621-H621</f>
        <v>4.6566128730773926E-9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246759.69</v>
      </c>
      <c r="H622" s="109">
        <f>G475</f>
        <v>246759.69000000041</v>
      </c>
      <c r="I622" s="121" t="s">
        <v>102</v>
      </c>
      <c r="J622" s="109">
        <f t="shared" si="50"/>
        <v>-4.0745362639427185E-10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959567.66</v>
      </c>
      <c r="H623" s="109">
        <f>H475</f>
        <v>959567.66000000015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1253779.6599999999</v>
      </c>
      <c r="H625" s="109">
        <f>J475</f>
        <v>1253779.6600000001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154433110.34000003</v>
      </c>
      <c r="H626" s="104">
        <f>SUM(F467)</f>
        <v>154433110.34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5359125.6499999994</v>
      </c>
      <c r="H627" s="104">
        <f>SUM(G467)</f>
        <v>5359125.6500000004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22495530.139999997</v>
      </c>
      <c r="H628" s="104">
        <f>SUM(H467)</f>
        <v>22495530.140000001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7145</v>
      </c>
      <c r="H630" s="104">
        <f>SUM(J467)</f>
        <v>7145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154547269.13000005</v>
      </c>
      <c r="H631" s="104">
        <f>SUM(F471)</f>
        <v>154547269.13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22383649.260000005</v>
      </c>
      <c r="H632" s="104">
        <f>SUM(H471)</f>
        <v>22383649.260000002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2307706.23</v>
      </c>
      <c r="H633" s="104">
        <f>I368</f>
        <v>2307706.23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5356149.96</v>
      </c>
      <c r="H634" s="104">
        <f>SUM(G471)</f>
        <v>5356149.96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7145</v>
      </c>
      <c r="H636" s="164">
        <f>SUM(J467)</f>
        <v>7145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2263250</v>
      </c>
      <c r="H637" s="164">
        <f>SUM(J471)</f>
        <v>2263250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3437661.66</v>
      </c>
      <c r="H639" s="104">
        <f>SUM(G460)</f>
        <v>3437661.66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3437661.66</v>
      </c>
      <c r="H641" s="104">
        <f>SUM(I460)</f>
        <v>3437661.66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-37223</v>
      </c>
      <c r="H643" s="104">
        <f>H407</f>
        <v>-37223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44368</v>
      </c>
      <c r="H644" s="104">
        <f>G407</f>
        <v>44368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7145</v>
      </c>
      <c r="H645" s="104">
        <f>L407</f>
        <v>7145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5584404.1400000006</v>
      </c>
      <c r="H646" s="104">
        <f>L207+L225+L243</f>
        <v>5584404.1399999997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2083891.0299999998</v>
      </c>
      <c r="H647" s="104">
        <f>(J256+J337)-(J254+J335)</f>
        <v>2083891.03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2467808.09</v>
      </c>
      <c r="H648" s="104">
        <f>H597</f>
        <v>2467808.09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2004203.46</v>
      </c>
      <c r="H649" s="104">
        <f>I597</f>
        <v>2004203.46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1112392.5900000001</v>
      </c>
      <c r="H650" s="104">
        <f>J597</f>
        <v>1112392.5899999999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44368</v>
      </c>
      <c r="H654" s="104">
        <f>K265+K346</f>
        <v>44368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75209909.290000007</v>
      </c>
      <c r="G659" s="19">
        <f>(L228+L308+L358)</f>
        <v>37433792.660000004</v>
      </c>
      <c r="H659" s="19">
        <f>(L246+L327+L359)</f>
        <v>56473609.450000003</v>
      </c>
      <c r="I659" s="19">
        <f>SUM(F659:H659)</f>
        <v>169117311.40000004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524300.81107594515</v>
      </c>
      <c r="G660" s="19">
        <f>(L358/IF(SUM(L357:L359)=0,1,SUM(L357:L359))*(SUM(G96:G109)))</f>
        <v>410084.08088024112</v>
      </c>
      <c r="H660" s="19">
        <f>(L359/IF(SUM(L357:L359)=0,1,SUM(L357:L359))*(SUM(G96:G109)))</f>
        <v>469401.61804381339</v>
      </c>
      <c r="I660" s="19">
        <f>SUM(F660:H660)</f>
        <v>1403786.5099999998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2467808.09</v>
      </c>
      <c r="G661" s="19">
        <f>(L225+L305)-(J225+J305)</f>
        <v>2004203.46</v>
      </c>
      <c r="H661" s="19">
        <f>(L243+L324)-(J243+J324)</f>
        <v>1112392.5900000001</v>
      </c>
      <c r="I661" s="19">
        <f>SUM(F661:H661)</f>
        <v>5584404.1399999997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2157080.7800000003</v>
      </c>
      <c r="G662" s="199">
        <f>SUM(G574:G586)+SUM(I601:I603)+L611</f>
        <v>1870127.6599999997</v>
      </c>
      <c r="H662" s="199">
        <f>SUM(H574:H586)+SUM(J601:J603)+L612</f>
        <v>4379382.6500000004</v>
      </c>
      <c r="I662" s="19">
        <f>SUM(F662:H662)</f>
        <v>8406591.0899999999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70060719.608924061</v>
      </c>
      <c r="G663" s="19">
        <f>G659-SUM(G660:G662)</f>
        <v>33149377.459119763</v>
      </c>
      <c r="H663" s="19">
        <f>H659-SUM(H660:H662)</f>
        <v>50512432.591956191</v>
      </c>
      <c r="I663" s="19">
        <f>I659-SUM(I660:I662)</f>
        <v>153722529.66000003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6537.01</v>
      </c>
      <c r="G664" s="248">
        <v>3054.28</v>
      </c>
      <c r="H664" s="248">
        <v>5095.3500000000004</v>
      </c>
      <c r="I664" s="19">
        <f>SUM(F664:H664)</f>
        <v>14686.640000000001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10717.55</v>
      </c>
      <c r="G666" s="19">
        <f>ROUND(G663/G664,2)</f>
        <v>10853.42</v>
      </c>
      <c r="H666" s="19">
        <f>ROUND(H663/H664,2)</f>
        <v>9913.44</v>
      </c>
      <c r="I666" s="19">
        <f>ROUND(I663/I664,2)</f>
        <v>10466.83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103.5</v>
      </c>
      <c r="I669" s="19">
        <f>SUM(F669:H669)</f>
        <v>103.5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10717.55</v>
      </c>
      <c r="G671" s="19">
        <f>ROUND((G663+G668)/(G664+G669),2)</f>
        <v>10853.42</v>
      </c>
      <c r="H671" s="19">
        <f>ROUND((H663+H668)/(H664+H669),2)</f>
        <v>9716.08</v>
      </c>
      <c r="I671" s="19">
        <f>ROUND((I663+I668)/(I664+I669),2)</f>
        <v>10393.58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Manchester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45095116.75</v>
      </c>
      <c r="C9" s="229">
        <f>'DOE25'!G196+'DOE25'!G214+'DOE25'!G232+'DOE25'!G275+'DOE25'!G294+'DOE25'!G313</f>
        <v>18306411.41</v>
      </c>
    </row>
    <row r="10" spans="1:3" x14ac:dyDescent="0.2">
      <c r="A10" t="s">
        <v>779</v>
      </c>
      <c r="B10" s="240">
        <f>39868478.19+70449.26</f>
        <v>39938927.449999996</v>
      </c>
      <c r="C10" s="240">
        <f>14712078.59+1694976.3</f>
        <v>16407054.890000001</v>
      </c>
    </row>
    <row r="11" spans="1:3" x14ac:dyDescent="0.2">
      <c r="A11" t="s">
        <v>780</v>
      </c>
      <c r="B11" s="240">
        <v>72020.179999999993</v>
      </c>
      <c r="C11" s="240">
        <v>26529.66</v>
      </c>
    </row>
    <row r="12" spans="1:3" x14ac:dyDescent="0.2">
      <c r="A12" t="s">
        <v>781</v>
      </c>
      <c r="B12" s="240">
        <v>5084169.12</v>
      </c>
      <c r="C12" s="240">
        <v>1872826.86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45095116.749999993</v>
      </c>
      <c r="C13" s="231">
        <f>SUM(C10:C12)</f>
        <v>18306411.41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23941185.210000001</v>
      </c>
      <c r="C18" s="229">
        <f>'DOE25'!G197+'DOE25'!G215+'DOE25'!G233+'DOE25'!G276+'DOE25'!G295+'DOE25'!G314</f>
        <v>13843853.24</v>
      </c>
    </row>
    <row r="19" spans="1:3" x14ac:dyDescent="0.2">
      <c r="A19" t="s">
        <v>779</v>
      </c>
      <c r="B19" s="240">
        <f>7625416.65+134252.48+1301176.46+954912.69+31649.24+2096236.9+2651948.85+369435.78</f>
        <v>15165029.049999999</v>
      </c>
      <c r="C19" s="240">
        <f>9842737.49-1694976.3</f>
        <v>8147761.1900000004</v>
      </c>
    </row>
    <row r="20" spans="1:3" x14ac:dyDescent="0.2">
      <c r="A20" t="s">
        <v>780</v>
      </c>
      <c r="B20" s="240">
        <f>4218202.59+175732.37+146688.38+70824.79+8280.21+24199.32+351647.86+34543.78</f>
        <v>5030119.3000000007</v>
      </c>
      <c r="C20" s="240">
        <v>3264757.59</v>
      </c>
    </row>
    <row r="21" spans="1:3" x14ac:dyDescent="0.2">
      <c r="A21" t="s">
        <v>781</v>
      </c>
      <c r="B21" s="240">
        <v>3746036.86</v>
      </c>
      <c r="C21" s="240">
        <v>2431334.46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23941185.210000001</v>
      </c>
      <c r="C22" s="231">
        <f>SUM(C19:C21)</f>
        <v>13843853.240000002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2548445.9699999997</v>
      </c>
      <c r="C27" s="234">
        <f>'DOE25'!G198+'DOE25'!G216+'DOE25'!G234+'DOE25'!G277+'DOE25'!G296+'DOE25'!G315</f>
        <v>1351879.91</v>
      </c>
    </row>
    <row r="28" spans="1:3" x14ac:dyDescent="0.2">
      <c r="A28" t="s">
        <v>779</v>
      </c>
      <c r="B28" s="240">
        <f>137024.88+250924.96+208146.55+272217.88+406730.44+601903.08+390481.22</f>
        <v>2267429.0099999998</v>
      </c>
      <c r="C28" s="240">
        <v>1202808.2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281016.96000000002</v>
      </c>
      <c r="C30" s="240">
        <v>149071.71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2548445.9699999997</v>
      </c>
      <c r="C31" s="231">
        <f>SUM(C28:C30)</f>
        <v>1351879.91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2015797.19</v>
      </c>
      <c r="C36" s="235">
        <f>'DOE25'!G199+'DOE25'!G217+'DOE25'!G235+'DOE25'!G278+'DOE25'!G297+'DOE25'!G316</f>
        <v>435064.32999999996</v>
      </c>
    </row>
    <row r="37" spans="1:3" x14ac:dyDescent="0.2">
      <c r="A37" t="s">
        <v>779</v>
      </c>
      <c r="B37" s="240">
        <v>67126.240000000005</v>
      </c>
      <c r="C37" s="240">
        <v>14487.68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1948670.95</v>
      </c>
      <c r="C39" s="240">
        <v>420576.65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2015797.19</v>
      </c>
      <c r="C40" s="231">
        <f>SUM(C37:C39)</f>
        <v>435064.33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pane="bottomLeft" activeCell="C2" sqref="C1:C104857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Manchester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100123183.13</v>
      </c>
      <c r="D5" s="20">
        <f>SUM('DOE25'!L196:L199)+SUM('DOE25'!L214:L217)+SUM('DOE25'!L232:L235)-F5-G5</f>
        <v>99714914.889999986</v>
      </c>
      <c r="E5" s="243"/>
      <c r="F5" s="255">
        <f>SUM('DOE25'!J196:J199)+SUM('DOE25'!J214:J217)+SUM('DOE25'!J232:J235)</f>
        <v>24242.18</v>
      </c>
      <c r="G5" s="53">
        <f>SUM('DOE25'!K196:K199)+SUM('DOE25'!K214:K217)+SUM('DOE25'!K232:K235)</f>
        <v>384026.06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10937053.91</v>
      </c>
      <c r="D6" s="20">
        <f>'DOE25'!L201+'DOE25'!L219+'DOE25'!L237-F6-G6</f>
        <v>10916430.16</v>
      </c>
      <c r="E6" s="243"/>
      <c r="F6" s="255">
        <f>'DOE25'!J201+'DOE25'!J219+'DOE25'!J237</f>
        <v>20623.75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2202953.1999999997</v>
      </c>
      <c r="D7" s="20">
        <f>'DOE25'!L202+'DOE25'!L220+'DOE25'!L238-F7-G7</f>
        <v>2202953.1999999997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471326.67</v>
      </c>
      <c r="D8" s="243"/>
      <c r="E8" s="20">
        <f>'DOE25'!L203+'DOE25'!L221+'DOE25'!L239-F8-G8-D9-D11</f>
        <v>462863.74</v>
      </c>
      <c r="F8" s="255">
        <f>'DOE25'!J203+'DOE25'!J221+'DOE25'!J239</f>
        <v>0</v>
      </c>
      <c r="G8" s="53">
        <f>'DOE25'!K203+'DOE25'!K221+'DOE25'!K239</f>
        <v>8462.93</v>
      </c>
      <c r="H8" s="259"/>
    </row>
    <row r="9" spans="1:9" x14ac:dyDescent="0.2">
      <c r="A9" s="32">
        <v>2310</v>
      </c>
      <c r="B9" t="s">
        <v>818</v>
      </c>
      <c r="C9" s="245">
        <f t="shared" si="0"/>
        <v>517659.66</v>
      </c>
      <c r="D9" s="244">
        <v>517659.66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40000</v>
      </c>
      <c r="D10" s="243"/>
      <c r="E10" s="244">
        <v>40000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654381.31000000006</v>
      </c>
      <c r="D11" s="244">
        <v>654381.31000000006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9001027.2300000004</v>
      </c>
      <c r="D12" s="20">
        <f>'DOE25'!L204+'DOE25'!L222+'DOE25'!L240-F12-G12</f>
        <v>8914820.6600000001</v>
      </c>
      <c r="E12" s="243"/>
      <c r="F12" s="255">
        <f>'DOE25'!J204+'DOE25'!J222+'DOE25'!J240</f>
        <v>43456</v>
      </c>
      <c r="G12" s="53">
        <f>'DOE25'!K204+'DOE25'!K222+'DOE25'!K240</f>
        <v>42750.57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1249557.47</v>
      </c>
      <c r="D13" s="243"/>
      <c r="E13" s="20">
        <f>'DOE25'!L205+'DOE25'!L223+'DOE25'!L241-F13-G13</f>
        <v>1133407.47</v>
      </c>
      <c r="F13" s="255">
        <f>'DOE25'!J205+'DOE25'!J223+'DOE25'!J241</f>
        <v>0</v>
      </c>
      <c r="G13" s="53">
        <f>'DOE25'!K205+'DOE25'!K223+'DOE25'!K241</f>
        <v>116150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9267862.9900000002</v>
      </c>
      <c r="D14" s="20">
        <f>'DOE25'!L206+'DOE25'!L224+'DOE25'!L242-F14-G14</f>
        <v>9264044.9900000002</v>
      </c>
      <c r="E14" s="243"/>
      <c r="F14" s="255">
        <f>'DOE25'!J206+'DOE25'!J224+'DOE25'!J242</f>
        <v>3618</v>
      </c>
      <c r="G14" s="53">
        <f>'DOE25'!K206+'DOE25'!K224+'DOE25'!K242</f>
        <v>200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5584404.1399999997</v>
      </c>
      <c r="D15" s="20">
        <f>'DOE25'!L207+'DOE25'!L225+'DOE25'!L243-F15-G15</f>
        <v>5584404.1399999997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2015529.6199999999</v>
      </c>
      <c r="D16" s="243"/>
      <c r="E16" s="20">
        <f>'DOE25'!L208+'DOE25'!L226+'DOE25'!L244-F16-G16</f>
        <v>1630964.63</v>
      </c>
      <c r="F16" s="255">
        <f>'DOE25'!J208+'DOE25'!J226+'DOE25'!J244</f>
        <v>384424.99</v>
      </c>
      <c r="G16" s="53">
        <f>'DOE25'!K208+'DOE25'!K226+'DOE25'!K244</f>
        <v>140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12477961.800000001</v>
      </c>
      <c r="D25" s="243"/>
      <c r="E25" s="243"/>
      <c r="F25" s="258"/>
      <c r="G25" s="256"/>
      <c r="H25" s="257">
        <f>'DOE25'!L259+'DOE25'!L260+'DOE25'!L340+'DOE25'!L341</f>
        <v>12477961.800000001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3191566.8</v>
      </c>
      <c r="D29" s="20">
        <f>'DOE25'!L357+'DOE25'!L358+'DOE25'!L359-'DOE25'!I366-F29-G29</f>
        <v>3190751.8</v>
      </c>
      <c r="E29" s="243"/>
      <c r="F29" s="255">
        <f>'DOE25'!J357+'DOE25'!J358+'DOE25'!J359</f>
        <v>815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22190594.010000002</v>
      </c>
      <c r="D31" s="20">
        <f>'DOE25'!L289+'DOE25'!L308+'DOE25'!L327+'DOE25'!L332+'DOE25'!L333+'DOE25'!L334-F31-G31</f>
        <v>20504034.360000003</v>
      </c>
      <c r="E31" s="243"/>
      <c r="F31" s="255">
        <f>'DOE25'!J289+'DOE25'!J308+'DOE25'!J327+'DOE25'!J332+'DOE25'!J333+'DOE25'!J334</f>
        <v>1607526.11</v>
      </c>
      <c r="G31" s="53">
        <f>'DOE25'!K289+'DOE25'!K308+'DOE25'!K327+'DOE25'!K332+'DOE25'!K333+'DOE25'!K334</f>
        <v>79033.539999999994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161464395.16999999</v>
      </c>
      <c r="E33" s="246">
        <f>SUM(E5:E31)</f>
        <v>3267235.8399999999</v>
      </c>
      <c r="F33" s="246">
        <f>SUM(F5:F31)</f>
        <v>2084706.03</v>
      </c>
      <c r="G33" s="246">
        <f>SUM(G5:G31)</f>
        <v>630763.10000000009</v>
      </c>
      <c r="H33" s="246">
        <f>SUM(H5:H31)</f>
        <v>12477961.800000001</v>
      </c>
    </row>
    <row r="35" spans="2:8" ht="12" thickBot="1" x14ac:dyDescent="0.25">
      <c r="B35" s="253" t="s">
        <v>847</v>
      </c>
      <c r="D35" s="254">
        <f>E33</f>
        <v>3267235.8399999999</v>
      </c>
      <c r="E35" s="249"/>
    </row>
    <row r="36" spans="2:8" ht="12" thickTop="1" x14ac:dyDescent="0.2">
      <c r="B36" t="s">
        <v>815</v>
      </c>
      <c r="D36" s="20">
        <f>D33</f>
        <v>161464395.16999999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3"/>
  <sheetViews>
    <sheetView zoomScale="80" zoomScaleNormal="80" workbookViewId="0">
      <pane ySplit="2" topLeftCell="A84" activePane="bottomLeft" state="frozen"/>
      <selection pane="bottomLeft" activeCell="L64" sqref="L6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Manchester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2183816.1999999997</v>
      </c>
      <c r="D8" s="95">
        <f>'DOE25'!G9</f>
        <v>125277.53</v>
      </c>
      <c r="E8" s="95">
        <f>'DOE25'!H9</f>
        <v>1400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3869691.09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16301258.33</v>
      </c>
      <c r="D12" s="95">
        <f>'DOE25'!G13</f>
        <v>714866.82</v>
      </c>
      <c r="E12" s="95">
        <f>'DOE25'!H13</f>
        <v>52380.24</v>
      </c>
      <c r="F12" s="95">
        <f>'DOE25'!I13</f>
        <v>0</v>
      </c>
      <c r="G12" s="95">
        <f>'DOE25'!J13</f>
        <v>3437661.66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778721.86</v>
      </c>
      <c r="D13" s="95">
        <f>'DOE25'!G14</f>
        <v>8884.93</v>
      </c>
      <c r="E13" s="95">
        <f>'DOE25'!H14</f>
        <v>3378612.44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34498.39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321792.51</v>
      </c>
      <c r="D16" s="95">
        <f>'DOE25'!G17</f>
        <v>0</v>
      </c>
      <c r="E16" s="95">
        <f>'DOE25'!H17</f>
        <v>334.5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23455279.989999998</v>
      </c>
      <c r="D18" s="41">
        <f>SUM(D8:D17)</f>
        <v>883527.67</v>
      </c>
      <c r="E18" s="41">
        <f>SUM(E8:E17)</f>
        <v>3432727.18</v>
      </c>
      <c r="F18" s="41">
        <f>SUM(F8:F17)</f>
        <v>0</v>
      </c>
      <c r="G18" s="41">
        <f>SUM(G8:G17)</f>
        <v>3437661.66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1211092.96</v>
      </c>
      <c r="F21" s="95">
        <f>'DOE25'!I22</f>
        <v>0</v>
      </c>
      <c r="G21" s="95">
        <f>'DOE25'!J22</f>
        <v>2183882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474716.13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541370.29</v>
      </c>
      <c r="D23" s="95">
        <f>'DOE25'!G24</f>
        <v>97303.52</v>
      </c>
      <c r="E23" s="95">
        <f>'DOE25'!H24</f>
        <v>770004.57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2898594</v>
      </c>
      <c r="D27" s="95">
        <f>'DOE25'!G28</f>
        <v>16855.25</v>
      </c>
      <c r="E27" s="95">
        <f>'DOE25'!H28</f>
        <v>472011.52000000002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944450.27000000014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18020329.800000001</v>
      </c>
      <c r="D29" s="95">
        <f>'DOE25'!G30</f>
        <v>47893.079999999994</v>
      </c>
      <c r="E29" s="95">
        <f>'DOE25'!H30</f>
        <v>20050.47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22404744.359999999</v>
      </c>
      <c r="D31" s="41">
        <f>SUM(D21:D30)</f>
        <v>636767.98</v>
      </c>
      <c r="E31" s="41">
        <f>SUM(E21:E30)</f>
        <v>2473159.52</v>
      </c>
      <c r="F31" s="41">
        <f>SUM(F21:F30)</f>
        <v>0</v>
      </c>
      <c r="G31" s="41">
        <f>SUM(G21:G30)</f>
        <v>2183882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34498.39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321792.51</v>
      </c>
      <c r="D35" s="95">
        <f>'DOE25'!G36</f>
        <v>0</v>
      </c>
      <c r="E35" s="95">
        <f>'DOE25'!H36</f>
        <v>334.5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87498.77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493557.11</v>
      </c>
      <c r="D46" s="95">
        <f>'DOE25'!G47</f>
        <v>124762.53</v>
      </c>
      <c r="E46" s="95">
        <f>'DOE25'!H47</f>
        <v>959233.16</v>
      </c>
      <c r="F46" s="95">
        <f>'DOE25'!I47</f>
        <v>0</v>
      </c>
      <c r="G46" s="95">
        <f>'DOE25'!J47</f>
        <v>1253779.6599999999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235186.01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1050535.6299999999</v>
      </c>
      <c r="D49" s="41">
        <f>SUM(D34:D48)</f>
        <v>246759.69</v>
      </c>
      <c r="E49" s="41">
        <f>SUM(E34:E48)</f>
        <v>959567.66</v>
      </c>
      <c r="F49" s="41">
        <f>SUM(F34:F48)</f>
        <v>0</v>
      </c>
      <c r="G49" s="41">
        <f>SUM(G34:G48)</f>
        <v>1253779.6599999999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23455279.989999998</v>
      </c>
      <c r="D50" s="41">
        <f>D49+D31</f>
        <v>883527.66999999993</v>
      </c>
      <c r="E50" s="41">
        <f>E49+E31</f>
        <v>3432727.18</v>
      </c>
      <c r="F50" s="41">
        <f>F49+F31</f>
        <v>0</v>
      </c>
      <c r="G50" s="41">
        <f>G49+G31</f>
        <v>3437661.66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59347692</v>
      </c>
      <c r="D55" s="95">
        <f>'DOE25'!G59</f>
        <v>0</v>
      </c>
      <c r="E55" s="95">
        <f>'DOE25'!H59</f>
        <v>554513.5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10184328.040000001</v>
      </c>
      <c r="D56" s="24" t="s">
        <v>289</v>
      </c>
      <c r="E56" s="95">
        <f>'DOE25'!H78</f>
        <v>4171745.16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144433.51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-37223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1403786.5099999998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880504.27</v>
      </c>
      <c r="D60" s="95">
        <f>SUM('DOE25'!G97:G109)</f>
        <v>0</v>
      </c>
      <c r="E60" s="95">
        <f>SUM('DOE25'!H97:H109)</f>
        <v>852855.2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11209265.82</v>
      </c>
      <c r="D61" s="130">
        <f>SUM(D56:D60)</f>
        <v>1403786.5099999998</v>
      </c>
      <c r="E61" s="130">
        <f>SUM(E56:E60)</f>
        <v>5024600.3600000003</v>
      </c>
      <c r="F61" s="130">
        <f>SUM(F56:F60)</f>
        <v>0</v>
      </c>
      <c r="G61" s="130">
        <f>SUM(G56:G60)</f>
        <v>-37223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70556957.819999993</v>
      </c>
      <c r="D62" s="22">
        <f>D55+D61</f>
        <v>1403786.5099999998</v>
      </c>
      <c r="E62" s="22">
        <f>E55+E61</f>
        <v>5579113.8600000003</v>
      </c>
      <c r="F62" s="22">
        <f>F55+F61</f>
        <v>0</v>
      </c>
      <c r="G62" s="22">
        <f>G55+G61</f>
        <v>-37223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56761263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19881887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76643150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2357291.36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367756.49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543862.80000000005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87501.55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3268910.6499999994</v>
      </c>
      <c r="D77" s="130">
        <f>SUM(D71:D76)</f>
        <v>87501.55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79912060.650000006</v>
      </c>
      <c r="D80" s="130">
        <f>SUM(D78:D79)+D77+D69</f>
        <v>87501.55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262932.23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1543794.32</v>
      </c>
      <c r="D87" s="95">
        <f>SUM('DOE25'!G152:G160)</f>
        <v>3604905.36</v>
      </c>
      <c r="E87" s="95">
        <f>SUM('DOE25'!H152:H160)</f>
        <v>16916416.279999997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1543794.32</v>
      </c>
      <c r="D90" s="131">
        <f>SUM(D84:D89)</f>
        <v>3867837.59</v>
      </c>
      <c r="E90" s="131">
        <f>SUM(E84:E89)</f>
        <v>16916416.279999997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44368</v>
      </c>
    </row>
    <row r="96" spans="1:9" x14ac:dyDescent="0.2">
      <c r="A96" t="s">
        <v>758</v>
      </c>
      <c r="B96" s="32" t="s">
        <v>188</v>
      </c>
      <c r="C96" s="95">
        <f>SUM('DOE25'!F179:F180)</f>
        <v>192047.55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2228250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2420297.5499999998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44368</v>
      </c>
    </row>
    <row r="103" spans="1:7" ht="12.75" thickTop="1" thickBot="1" x14ac:dyDescent="0.25">
      <c r="A103" s="33" t="s">
        <v>765</v>
      </c>
      <c r="C103" s="86">
        <f>C62+C80+C90+C102</f>
        <v>154433110.34</v>
      </c>
      <c r="D103" s="86">
        <f>D62+D80+D90+D102</f>
        <v>5359125.6499999994</v>
      </c>
      <c r="E103" s="86">
        <f>E62+E80+E90+E102</f>
        <v>22495530.139999997</v>
      </c>
      <c r="F103" s="86">
        <f>F62+F80+F90+F102</f>
        <v>0</v>
      </c>
      <c r="G103" s="86">
        <f>G62+G80+G102</f>
        <v>7145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62584894.43</v>
      </c>
      <c r="D108" s="24" t="s">
        <v>289</v>
      </c>
      <c r="E108" s="95">
        <f>('DOE25'!L275)+('DOE25'!L294)+('DOE25'!L313)</f>
        <v>2105044.2799999998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31690316.160000004</v>
      </c>
      <c r="D109" s="24" t="s">
        <v>289</v>
      </c>
      <c r="E109" s="95">
        <f>('DOE25'!L276)+('DOE25'!L295)+('DOE25'!L314)</f>
        <v>15386678.539999999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3907438.76</v>
      </c>
      <c r="D110" s="24" t="s">
        <v>289</v>
      </c>
      <c r="E110" s="95">
        <f>('DOE25'!L277)+('DOE25'!L296)+('DOE25'!L315)</f>
        <v>503532.35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1940533.7800000003</v>
      </c>
      <c r="D111" s="24" t="s">
        <v>289</v>
      </c>
      <c r="E111" s="95">
        <f>+('DOE25'!L278)+('DOE25'!L297)+('DOE25'!L316)</f>
        <v>1313767.1299999999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1007.7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454371.9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100123183.13000001</v>
      </c>
      <c r="D114" s="86">
        <f>SUM(D108:D113)</f>
        <v>0</v>
      </c>
      <c r="E114" s="86">
        <f>SUM(E108:E113)</f>
        <v>19764401.899999999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10937053.91</v>
      </c>
      <c r="D117" s="24" t="s">
        <v>289</v>
      </c>
      <c r="E117" s="95">
        <f>+('DOE25'!L280)+('DOE25'!L299)+('DOE25'!L318)</f>
        <v>923230.14999999991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2202953.1999999997</v>
      </c>
      <c r="D118" s="24" t="s">
        <v>289</v>
      </c>
      <c r="E118" s="95">
        <f>+('DOE25'!L281)+('DOE25'!L300)+('DOE25'!L319)</f>
        <v>194903.8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1643367.64</v>
      </c>
      <c r="D119" s="24" t="s">
        <v>289</v>
      </c>
      <c r="E119" s="95">
        <f>+('DOE25'!L282)+('DOE25'!L301)+('DOE25'!L320)</f>
        <v>386499.21000000008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9001027.2300000004</v>
      </c>
      <c r="D120" s="24" t="s">
        <v>289</v>
      </c>
      <c r="E120" s="95">
        <f>+('DOE25'!L283)+('DOE25'!L302)+('DOE25'!L321)</f>
        <v>2559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1249557.47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9267862.9900000002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5584404.1399999997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2015529.6199999999</v>
      </c>
      <c r="D124" s="24" t="s">
        <v>289</v>
      </c>
      <c r="E124" s="95">
        <f>+('DOE25'!L287)+('DOE25'!L306)+('DOE25'!L325)</f>
        <v>920007.65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5356149.96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41901756.199999996</v>
      </c>
      <c r="D127" s="86">
        <f>SUM(D117:D126)</f>
        <v>5356149.96</v>
      </c>
      <c r="E127" s="86">
        <f>SUM(E117:E126)</f>
        <v>2427199.81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6906690.5599999996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5571271.2400000002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192047.55</v>
      </c>
      <c r="F133" s="95">
        <f>'DOE25'!K380</f>
        <v>0</v>
      </c>
      <c r="G133" s="95">
        <f>'DOE25'!K433</f>
        <v>2263250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7145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37223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12522329.800000001</v>
      </c>
      <c r="D143" s="141">
        <f>SUM(D129:D142)</f>
        <v>0</v>
      </c>
      <c r="E143" s="141">
        <f>SUM(E129:E142)</f>
        <v>192047.55</v>
      </c>
      <c r="F143" s="141">
        <f>SUM(F129:F142)</f>
        <v>0</v>
      </c>
      <c r="G143" s="141">
        <f>SUM(G129:G142)</f>
        <v>2263250</v>
      </c>
    </row>
    <row r="144" spans="1:7" ht="12.75" thickTop="1" thickBot="1" x14ac:dyDescent="0.25">
      <c r="A144" s="33" t="s">
        <v>244</v>
      </c>
      <c r="C144" s="86">
        <f>(C114+C127+C143)</f>
        <v>154547269.13000003</v>
      </c>
      <c r="D144" s="86">
        <f>(D114+D127+D143)</f>
        <v>5356149.96</v>
      </c>
      <c r="E144" s="86">
        <f>(E114+E127+E143)</f>
        <v>22383649.259999998</v>
      </c>
      <c r="F144" s="86">
        <f>(F114+F127+F143)</f>
        <v>0</v>
      </c>
      <c r="G144" s="86">
        <f>(G114+G127+G143)</f>
        <v>2263250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7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Manchester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10718</v>
      </c>
    </row>
    <row r="5" spans="1:4" x14ac:dyDescent="0.2">
      <c r="B5" t="s">
        <v>704</v>
      </c>
      <c r="C5" s="179">
        <f>IF('DOE25'!G664+'DOE25'!G669=0,0,ROUND('DOE25'!G671,0))</f>
        <v>10853</v>
      </c>
    </row>
    <row r="6" spans="1:4" x14ac:dyDescent="0.2">
      <c r="B6" t="s">
        <v>62</v>
      </c>
      <c r="C6" s="179">
        <f>IF('DOE25'!H664+'DOE25'!H669=0,0,ROUND('DOE25'!H671,0))</f>
        <v>9716</v>
      </c>
    </row>
    <row r="7" spans="1:4" x14ac:dyDescent="0.2">
      <c r="B7" t="s">
        <v>705</v>
      </c>
      <c r="C7" s="179">
        <f>IF('DOE25'!I664+'DOE25'!I669=0,0,ROUND('DOE25'!I671,0))</f>
        <v>10394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64689939</v>
      </c>
      <c r="D10" s="182">
        <f>ROUND((C10/$C$28)*100,1)</f>
        <v>37.200000000000003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47076995</v>
      </c>
      <c r="D11" s="182">
        <f>ROUND((C11/$C$28)*100,1)</f>
        <v>27.1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4410971</v>
      </c>
      <c r="D12" s="182">
        <f>ROUND((C12/$C$28)*100,1)</f>
        <v>2.5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3254301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11860284</v>
      </c>
      <c r="D15" s="182">
        <f t="shared" ref="D15:D27" si="0">ROUND((C15/$C$28)*100,1)</f>
        <v>6.8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2397857</v>
      </c>
      <c r="D16" s="182">
        <f t="shared" si="0"/>
        <v>1.4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4965404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9003586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1249557</v>
      </c>
      <c r="D19" s="182">
        <f t="shared" si="0"/>
        <v>0.7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9267863</v>
      </c>
      <c r="D20" s="182">
        <f t="shared" si="0"/>
        <v>5.3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5584404</v>
      </c>
      <c r="D21" s="182">
        <f t="shared" si="0"/>
        <v>3.2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1008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454372</v>
      </c>
      <c r="D24" s="182">
        <f t="shared" si="0"/>
        <v>0.3</v>
      </c>
    </row>
    <row r="25" spans="1:4" x14ac:dyDescent="0.2">
      <c r="A25">
        <v>5120</v>
      </c>
      <c r="B25" t="s">
        <v>720</v>
      </c>
      <c r="C25" s="179">
        <f>ROUND('DOE25'!L260+'DOE25'!L341,0)</f>
        <v>5571271</v>
      </c>
      <c r="D25" s="182">
        <f t="shared" si="0"/>
        <v>3.2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3952363.49</v>
      </c>
      <c r="D27" s="182">
        <f t="shared" si="0"/>
        <v>2.2999999999999998</v>
      </c>
    </row>
    <row r="28" spans="1:4" x14ac:dyDescent="0.2">
      <c r="B28" s="187" t="s">
        <v>723</v>
      </c>
      <c r="C28" s="180">
        <f>SUM(C10:C27)</f>
        <v>173740175.49000001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173740175.49000001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6906691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59902206</v>
      </c>
      <c r="D35" s="182">
        <f t="shared" ref="D35:D40" si="1">ROUND((C35/$C$41)*100,1)</f>
        <v>33.6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16196642.680000007</v>
      </c>
      <c r="D36" s="182">
        <f t="shared" si="1"/>
        <v>9.1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76643150</v>
      </c>
      <c r="D37" s="182">
        <f t="shared" si="1"/>
        <v>43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3356412</v>
      </c>
      <c r="D38" s="182">
        <f t="shared" si="1"/>
        <v>1.9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22328048</v>
      </c>
      <c r="D39" s="182">
        <f t="shared" si="1"/>
        <v>12.5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178426458.68000001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Manchester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2013-11-06T19:42:16Z</cp:lastPrinted>
  <dcterms:created xsi:type="dcterms:W3CDTF">1997-12-04T19:04:30Z</dcterms:created>
  <dcterms:modified xsi:type="dcterms:W3CDTF">2013-12-05T18:49:01Z</dcterms:modified>
</cp:coreProperties>
</file>