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33" i="1" l="1"/>
  <c r="D9" i="13" l="1"/>
  <c r="F367" i="1"/>
  <c r="G357" i="1"/>
  <c r="I357" i="1"/>
  <c r="H357" i="1"/>
  <c r="G610" i="1"/>
  <c r="F610" i="1"/>
  <c r="F578" i="1"/>
  <c r="H525" i="1"/>
  <c r="I520" i="1"/>
  <c r="G520" i="1"/>
  <c r="F520" i="1"/>
  <c r="H520" i="1"/>
  <c r="F501" i="1"/>
  <c r="F500" i="1"/>
  <c r="F498" i="1"/>
  <c r="G281" i="1"/>
  <c r="F281" i="1"/>
  <c r="G278" i="1"/>
  <c r="F278" i="1"/>
  <c r="I276" i="1"/>
  <c r="G276" i="1"/>
  <c r="F276" i="1"/>
  <c r="J275" i="1"/>
  <c r="I275" i="1"/>
  <c r="G275" i="1"/>
  <c r="J95" i="1"/>
  <c r="H158" i="1"/>
  <c r="H154" i="1"/>
  <c r="H153" i="1"/>
  <c r="H149" i="1"/>
  <c r="J467" i="1"/>
  <c r="K265" i="1"/>
  <c r="I204" i="1"/>
  <c r="I202" i="1"/>
  <c r="I201" i="1"/>
  <c r="H208" i="1"/>
  <c r="H207" i="1"/>
  <c r="H203" i="1"/>
  <c r="H202" i="1"/>
  <c r="H201" i="1"/>
  <c r="G203" i="1"/>
  <c r="G202" i="1"/>
  <c r="G201" i="1"/>
  <c r="G199" i="1"/>
  <c r="G197" i="1"/>
  <c r="F203" i="1"/>
  <c r="F202" i="1"/>
  <c r="F201" i="1"/>
  <c r="F199" i="1"/>
  <c r="F197" i="1"/>
  <c r="G96" i="1"/>
  <c r="F109" i="1"/>
  <c r="F12" i="1"/>
  <c r="F9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/>
  <c r="I457" i="1"/>
  <c r="J39" i="1"/>
  <c r="G38" i="2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C124" i="2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D6" i="13"/>
  <c r="C6" i="13"/>
  <c r="L219" i="1"/>
  <c r="L237" i="1"/>
  <c r="F7" i="13"/>
  <c r="G7" i="13"/>
  <c r="L202" i="1"/>
  <c r="C118" i="2"/>
  <c r="L220" i="1"/>
  <c r="L238" i="1"/>
  <c r="F12" i="13"/>
  <c r="G12" i="13"/>
  <c r="L204" i="1"/>
  <c r="L222" i="1"/>
  <c r="L240" i="1"/>
  <c r="F14" i="13"/>
  <c r="G14" i="13"/>
  <c r="L206" i="1"/>
  <c r="C122" i="2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H660" i="1"/>
  <c r="L358" i="1"/>
  <c r="L359" i="1"/>
  <c r="I366" i="1"/>
  <c r="J289" i="1"/>
  <c r="J308" i="1"/>
  <c r="J327" i="1"/>
  <c r="K289" i="1"/>
  <c r="K308" i="1"/>
  <c r="K327" i="1"/>
  <c r="L275" i="1"/>
  <c r="E108" i="2"/>
  <c r="L276" i="1"/>
  <c r="C11" i="10"/>
  <c r="L277" i="1"/>
  <c r="L278" i="1"/>
  <c r="E111" i="2"/>
  <c r="L280" i="1"/>
  <c r="L281" i="1"/>
  <c r="E118" i="2"/>
  <c r="L282" i="1"/>
  <c r="E119" i="2"/>
  <c r="L283" i="1"/>
  <c r="E120" i="2"/>
  <c r="L284" i="1"/>
  <c r="C19" i="10"/>
  <c r="L285" i="1"/>
  <c r="L286" i="1"/>
  <c r="L287" i="1"/>
  <c r="E124" i="2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/>
  <c r="L260" i="1"/>
  <c r="H25" i="13"/>
  <c r="L340" i="1"/>
  <c r="L341" i="1"/>
  <c r="L254" i="1"/>
  <c r="L335" i="1"/>
  <c r="C11" i="13"/>
  <c r="C10" i="13"/>
  <c r="C9" i="13"/>
  <c r="L360" i="1"/>
  <c r="B4" i="12"/>
  <c r="B36" i="12"/>
  <c r="C36" i="12"/>
  <c r="B40" i="12"/>
  <c r="A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92" i="1"/>
  <c r="C137" i="2"/>
  <c r="L389" i="1"/>
  <c r="L390" i="1"/>
  <c r="L391" i="1"/>
  <c r="L394" i="1"/>
  <c r="L395" i="1"/>
  <c r="L396" i="1"/>
  <c r="L397" i="1"/>
  <c r="L400" i="1"/>
  <c r="C138" i="2"/>
  <c r="L398" i="1"/>
  <c r="L399" i="1"/>
  <c r="L402" i="1"/>
  <c r="L403" i="1"/>
  <c r="L404" i="1"/>
  <c r="L405" i="1"/>
  <c r="L265" i="1"/>
  <c r="J59" i="1"/>
  <c r="G55" i="2"/>
  <c r="G58" i="2"/>
  <c r="G60" i="2"/>
  <c r="F2" i="11"/>
  <c r="L612" i="1"/>
  <c r="H662" i="1"/>
  <c r="L611" i="1"/>
  <c r="G662" i="1"/>
  <c r="L610" i="1"/>
  <c r="F662" i="1"/>
  <c r="C40" i="10"/>
  <c r="F59" i="1"/>
  <c r="G59" i="1"/>
  <c r="H59" i="1"/>
  <c r="I59" i="1"/>
  <c r="F78" i="1"/>
  <c r="C56" i="2"/>
  <c r="F93" i="1"/>
  <c r="F110" i="1"/>
  <c r="G110" i="1"/>
  <c r="G111" i="1"/>
  <c r="H78" i="1"/>
  <c r="H93" i="1"/>
  <c r="H110" i="1"/>
  <c r="I110" i="1"/>
  <c r="I111" i="1"/>
  <c r="J110" i="1"/>
  <c r="J111" i="1"/>
  <c r="F120" i="1"/>
  <c r="F135" i="1"/>
  <c r="G120" i="1"/>
  <c r="G135" i="1"/>
  <c r="H120" i="1"/>
  <c r="H135" i="1"/>
  <c r="I120" i="1"/>
  <c r="I135" i="1"/>
  <c r="J120" i="1"/>
  <c r="J135" i="1"/>
  <c r="F146" i="1"/>
  <c r="F161" i="1"/>
  <c r="F168" i="1"/>
  <c r="G146" i="1"/>
  <c r="G161" i="1"/>
  <c r="H146" i="1"/>
  <c r="H161" i="1"/>
  <c r="H168" i="1"/>
  <c r="I146" i="1"/>
  <c r="I161" i="1"/>
  <c r="C12" i="10"/>
  <c r="L249" i="1"/>
  <c r="L331" i="1"/>
  <c r="C23" i="10"/>
  <c r="L253" i="1"/>
  <c r="L267" i="1"/>
  <c r="L268" i="1"/>
  <c r="L348" i="1"/>
  <c r="L349" i="1"/>
  <c r="I664" i="1"/>
  <c r="I669" i="1"/>
  <c r="L246" i="1"/>
  <c r="G661" i="1"/>
  <c r="H661" i="1"/>
  <c r="I668" i="1"/>
  <c r="C42" i="10"/>
  <c r="C32" i="10"/>
  <c r="L373" i="1"/>
  <c r="L374" i="1"/>
  <c r="L375" i="1"/>
  <c r="L376" i="1"/>
  <c r="L377" i="1"/>
  <c r="L378" i="1"/>
  <c r="F129" i="2"/>
  <c r="L379" i="1"/>
  <c r="B2" i="10"/>
  <c r="L343" i="1"/>
  <c r="L344" i="1"/>
  <c r="L345" i="1"/>
  <c r="L346" i="1"/>
  <c r="K350" i="1"/>
  <c r="L520" i="1"/>
  <c r="F548" i="1"/>
  <c r="L521" i="1"/>
  <c r="F549" i="1"/>
  <c r="K549" i="1"/>
  <c r="L522" i="1"/>
  <c r="F550" i="1"/>
  <c r="L525" i="1"/>
  <c r="G548" i="1"/>
  <c r="G551" i="1"/>
  <c r="L526" i="1"/>
  <c r="G549" i="1"/>
  <c r="L527" i="1"/>
  <c r="G550" i="1"/>
  <c r="L530" i="1"/>
  <c r="H548" i="1"/>
  <c r="H551" i="1"/>
  <c r="L531" i="1"/>
  <c r="H549" i="1"/>
  <c r="L532" i="1"/>
  <c r="H550" i="1"/>
  <c r="L535" i="1"/>
  <c r="I548" i="1"/>
  <c r="L536" i="1"/>
  <c r="I549" i="1"/>
  <c r="L537" i="1"/>
  <c r="I550" i="1"/>
  <c r="L540" i="1"/>
  <c r="J548" i="1"/>
  <c r="L541" i="1"/>
  <c r="J549" i="1"/>
  <c r="L542" i="1"/>
  <c r="J550" i="1"/>
  <c r="E131" i="2"/>
  <c r="E130" i="2"/>
  <c r="K269" i="1"/>
  <c r="L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/>
  <c r="G8" i="2"/>
  <c r="C9" i="2"/>
  <c r="D9" i="2"/>
  <c r="E9" i="2"/>
  <c r="F9" i="2"/>
  <c r="I439" i="1"/>
  <c r="J10" i="1"/>
  <c r="G9" i="2"/>
  <c r="C10" i="2"/>
  <c r="C11" i="2"/>
  <c r="D11" i="2"/>
  <c r="E11" i="2"/>
  <c r="F11" i="2"/>
  <c r="I440" i="1"/>
  <c r="J12" i="1"/>
  <c r="G11" i="2"/>
  <c r="C12" i="2"/>
  <c r="D12" i="2"/>
  <c r="E12" i="2"/>
  <c r="F12" i="2"/>
  <c r="I441" i="1"/>
  <c r="J13" i="1"/>
  <c r="G12" i="2"/>
  <c r="C13" i="2"/>
  <c r="D13" i="2"/>
  <c r="E13" i="2"/>
  <c r="F13" i="2"/>
  <c r="I442" i="1"/>
  <c r="J14" i="1"/>
  <c r="G13" i="2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/>
  <c r="C21" i="2"/>
  <c r="D21" i="2"/>
  <c r="E21" i="2"/>
  <c r="F21" i="2"/>
  <c r="I447" i="1"/>
  <c r="J22" i="1"/>
  <c r="C22" i="2"/>
  <c r="D22" i="2"/>
  <c r="E22" i="2"/>
  <c r="F22" i="2"/>
  <c r="I448" i="1"/>
  <c r="J23" i="1"/>
  <c r="C23" i="2"/>
  <c r="D23" i="2"/>
  <c r="E23" i="2"/>
  <c r="F23" i="2"/>
  <c r="I449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/>
  <c r="C34" i="2"/>
  <c r="D34" i="2"/>
  <c r="E34" i="2"/>
  <c r="F34" i="2"/>
  <c r="C35" i="2"/>
  <c r="D35" i="2"/>
  <c r="E35" i="2"/>
  <c r="F35" i="2"/>
  <c r="I453" i="1"/>
  <c r="J48" i="1"/>
  <c r="G47" i="2"/>
  <c r="I455" i="1"/>
  <c r="J43" i="1"/>
  <c r="I456" i="1"/>
  <c r="J37" i="1"/>
  <c r="I458" i="1"/>
  <c r="J47" i="1"/>
  <c r="G46" i="2"/>
  <c r="C48" i="2"/>
  <c r="D55" i="2"/>
  <c r="E55" i="2"/>
  <c r="F55" i="2"/>
  <c r="E56" i="2"/>
  <c r="C57" i="2"/>
  <c r="E57" i="2"/>
  <c r="C58" i="2"/>
  <c r="D58" i="2"/>
  <c r="E58" i="2"/>
  <c r="F58" i="2"/>
  <c r="D59" i="2"/>
  <c r="D61" i="2"/>
  <c r="D62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C110" i="2"/>
  <c r="E110" i="2"/>
  <c r="C111" i="2"/>
  <c r="C112" i="2"/>
  <c r="E112" i="2"/>
  <c r="C113" i="2"/>
  <c r="E113" i="2"/>
  <c r="D114" i="2"/>
  <c r="F114" i="2"/>
  <c r="G114" i="2"/>
  <c r="E117" i="2"/>
  <c r="C119" i="2"/>
  <c r="C120" i="2"/>
  <c r="C121" i="2"/>
  <c r="E122" i="2"/>
  <c r="E123" i="2"/>
  <c r="F127" i="2"/>
  <c r="G127" i="2"/>
  <c r="C129" i="2"/>
  <c r="E129" i="2"/>
  <c r="D133" i="2"/>
  <c r="D143" i="2"/>
  <c r="E133" i="2"/>
  <c r="F133" i="2"/>
  <c r="K418" i="1"/>
  <c r="K426" i="1"/>
  <c r="K432" i="1"/>
  <c r="L262" i="1"/>
  <c r="C134" i="2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G159" i="2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163" i="2"/>
  <c r="G502" i="1"/>
  <c r="C163" i="2"/>
  <c r="H502" i="1"/>
  <c r="D163" i="2"/>
  <c r="I502" i="1"/>
  <c r="E163" i="2"/>
  <c r="J502" i="1"/>
  <c r="F163" i="2"/>
  <c r="F19" i="1"/>
  <c r="G616" i="1"/>
  <c r="G19" i="1"/>
  <c r="H19" i="1"/>
  <c r="I19" i="1"/>
  <c r="F32" i="1"/>
  <c r="G32" i="1"/>
  <c r="H32" i="1"/>
  <c r="I32" i="1"/>
  <c r="F50" i="1"/>
  <c r="F51" i="1"/>
  <c r="H616" i="1"/>
  <c r="G50" i="1"/>
  <c r="H50" i="1"/>
  <c r="I50" i="1"/>
  <c r="I51" i="1"/>
  <c r="H619" i="1"/>
  <c r="F176" i="1"/>
  <c r="I176" i="1"/>
  <c r="F182" i="1"/>
  <c r="G182" i="1"/>
  <c r="H182" i="1"/>
  <c r="I182" i="1"/>
  <c r="J182" i="1"/>
  <c r="J191" i="1"/>
  <c r="F187" i="1"/>
  <c r="G187" i="1"/>
  <c r="H187" i="1"/>
  <c r="I187" i="1"/>
  <c r="F210" i="1"/>
  <c r="G210" i="1"/>
  <c r="G256" i="1"/>
  <c r="G270" i="1"/>
  <c r="H210" i="1"/>
  <c r="I210" i="1"/>
  <c r="I256" i="1"/>
  <c r="I270" i="1"/>
  <c r="J210" i="1"/>
  <c r="J256" i="1"/>
  <c r="J270" i="1"/>
  <c r="K210" i="1"/>
  <c r="K256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F289" i="1"/>
  <c r="G289" i="1"/>
  <c r="G337" i="1"/>
  <c r="G351" i="1"/>
  <c r="H289" i="1"/>
  <c r="H337" i="1"/>
  <c r="H351" i="1"/>
  <c r="I289" i="1"/>
  <c r="F308" i="1"/>
  <c r="G308" i="1"/>
  <c r="H308" i="1"/>
  <c r="I308" i="1"/>
  <c r="F327" i="1"/>
  <c r="G327" i="1"/>
  <c r="H327" i="1"/>
  <c r="I327" i="1"/>
  <c r="F336" i="1"/>
  <c r="G336" i="1"/>
  <c r="L336" i="1"/>
  <c r="H336" i="1"/>
  <c r="I336" i="1"/>
  <c r="J336" i="1"/>
  <c r="K336" i="1"/>
  <c r="K337" i="1"/>
  <c r="K351" i="1"/>
  <c r="F361" i="1"/>
  <c r="G361" i="1"/>
  <c r="H361" i="1"/>
  <c r="I361" i="1"/>
  <c r="J361" i="1"/>
  <c r="K361" i="1"/>
  <c r="I367" i="1"/>
  <c r="I368" i="1"/>
  <c r="H633" i="1"/>
  <c r="J633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G407" i="1"/>
  <c r="H644" i="1"/>
  <c r="H392" i="1"/>
  <c r="I392" i="1"/>
  <c r="F400" i="1"/>
  <c r="G400" i="1"/>
  <c r="H400" i="1"/>
  <c r="H407" i="1"/>
  <c r="H643" i="1"/>
  <c r="J643" i="1"/>
  <c r="I400" i="1"/>
  <c r="F406" i="1"/>
  <c r="G406" i="1"/>
  <c r="H406" i="1"/>
  <c r="I406" i="1"/>
  <c r="F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F451" i="1"/>
  <c r="G451" i="1"/>
  <c r="H451" i="1"/>
  <c r="I451" i="1"/>
  <c r="F459" i="1"/>
  <c r="G459" i="1"/>
  <c r="H459" i="1"/>
  <c r="I459" i="1"/>
  <c r="I460" i="1"/>
  <c r="H641" i="1"/>
  <c r="F460" i="1"/>
  <c r="G460" i="1"/>
  <c r="H460" i="1"/>
  <c r="F469" i="1"/>
  <c r="G469" i="1"/>
  <c r="G475" i="1"/>
  <c r="H622" i="1"/>
  <c r="J622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G544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K544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7" i="1"/>
  <c r="G646" i="1"/>
  <c r="K594" i="1"/>
  <c r="K595" i="1"/>
  <c r="K596" i="1"/>
  <c r="H597" i="1"/>
  <c r="H648" i="1"/>
  <c r="I597" i="1"/>
  <c r="H649" i="1"/>
  <c r="J597" i="1"/>
  <c r="H650" i="1"/>
  <c r="K601" i="1"/>
  <c r="K602" i="1"/>
  <c r="K603" i="1"/>
  <c r="K604" i="1"/>
  <c r="G647" i="1"/>
  <c r="H604" i="1"/>
  <c r="I604" i="1"/>
  <c r="J604" i="1"/>
  <c r="F613" i="1"/>
  <c r="G613" i="1"/>
  <c r="H613" i="1"/>
  <c r="I613" i="1"/>
  <c r="J613" i="1"/>
  <c r="K613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8" i="1"/>
  <c r="G639" i="1"/>
  <c r="J639" i="1"/>
  <c r="H639" i="1"/>
  <c r="G640" i="1"/>
  <c r="H640" i="1"/>
  <c r="G642" i="1"/>
  <c r="H642" i="1"/>
  <c r="G643" i="1"/>
  <c r="G649" i="1"/>
  <c r="G650" i="1"/>
  <c r="G651" i="1"/>
  <c r="H651" i="1"/>
  <c r="G652" i="1"/>
  <c r="H652" i="1"/>
  <c r="G653" i="1"/>
  <c r="H653" i="1"/>
  <c r="H654" i="1"/>
  <c r="J654" i="1"/>
  <c r="F191" i="1"/>
  <c r="L255" i="1"/>
  <c r="F31" i="2"/>
  <c r="C26" i="10"/>
  <c r="L327" i="1"/>
  <c r="H659" i="1"/>
  <c r="L350" i="1"/>
  <c r="A31" i="12"/>
  <c r="C69" i="2"/>
  <c r="D12" i="13"/>
  <c r="C12" i="13"/>
  <c r="G161" i="2"/>
  <c r="E49" i="2"/>
  <c r="D18" i="13"/>
  <c r="C18" i="13"/>
  <c r="D7" i="13"/>
  <c r="C7" i="13"/>
  <c r="F102" i="2"/>
  <c r="D18" i="2"/>
  <c r="E18" i="2"/>
  <c r="D17" i="13"/>
  <c r="C17" i="13"/>
  <c r="E8" i="13"/>
  <c r="C8" i="13"/>
  <c r="G158" i="2"/>
  <c r="C90" i="2"/>
  <c r="G80" i="2"/>
  <c r="F77" i="2"/>
  <c r="F80" i="2"/>
  <c r="C77" i="2"/>
  <c r="C80" i="2"/>
  <c r="D49" i="2"/>
  <c r="F49" i="2"/>
  <c r="F50" i="2"/>
  <c r="F18" i="2"/>
  <c r="G162" i="2"/>
  <c r="G160" i="2"/>
  <c r="G157" i="2"/>
  <c r="G155" i="2"/>
  <c r="E143" i="2"/>
  <c r="G102" i="2"/>
  <c r="E102" i="2"/>
  <c r="D90" i="2"/>
  <c r="F90" i="2"/>
  <c r="E61" i="2"/>
  <c r="E62" i="2"/>
  <c r="G61" i="2"/>
  <c r="D19" i="13"/>
  <c r="C19" i="13"/>
  <c r="E13" i="13"/>
  <c r="C13" i="13"/>
  <c r="E77" i="2"/>
  <c r="E80" i="2"/>
  <c r="L426" i="1"/>
  <c r="H111" i="1"/>
  <c r="J640" i="1"/>
  <c r="J570" i="1"/>
  <c r="K570" i="1"/>
  <c r="L432" i="1"/>
  <c r="L418" i="1"/>
  <c r="D80" i="2"/>
  <c r="I168" i="1"/>
  <c r="J642" i="1"/>
  <c r="H475" i="1"/>
  <c r="H623" i="1"/>
  <c r="J623" i="1"/>
  <c r="F475" i="1"/>
  <c r="H621" i="1"/>
  <c r="J621" i="1"/>
  <c r="I475" i="1"/>
  <c r="H624" i="1"/>
  <c r="J624" i="1"/>
  <c r="J139" i="1"/>
  <c r="F570" i="1"/>
  <c r="I551" i="1"/>
  <c r="G22" i="2"/>
  <c r="J551" i="1"/>
  <c r="H139" i="1"/>
  <c r="F22" i="13"/>
  <c r="J650" i="1"/>
  <c r="H570" i="1"/>
  <c r="L559" i="1"/>
  <c r="J544" i="1"/>
  <c r="F337" i="1"/>
  <c r="F351" i="1"/>
  <c r="G191" i="1"/>
  <c r="H191" i="1"/>
  <c r="L308" i="1"/>
  <c r="C49" i="2"/>
  <c r="L569" i="1"/>
  <c r="I570" i="1"/>
  <c r="G36" i="2"/>
  <c r="L564" i="1"/>
  <c r="K550" i="1"/>
  <c r="C22" i="13"/>
  <c r="A13" i="12"/>
  <c r="H646" i="1"/>
  <c r="J646" i="1"/>
  <c r="F660" i="1"/>
  <c r="L613" i="1"/>
  <c r="L533" i="1"/>
  <c r="L528" i="1"/>
  <c r="I544" i="1"/>
  <c r="K548" i="1"/>
  <c r="K551" i="1"/>
  <c r="H544" i="1"/>
  <c r="F551" i="1"/>
  <c r="L523" i="1"/>
  <c r="K502" i="1"/>
  <c r="J638" i="1"/>
  <c r="I445" i="1"/>
  <c r="G641" i="1"/>
  <c r="C29" i="10"/>
  <c r="L381" i="1"/>
  <c r="G635" i="1"/>
  <c r="J635" i="1"/>
  <c r="E109" i="2"/>
  <c r="E114" i="2"/>
  <c r="J337" i="1"/>
  <c r="J351" i="1"/>
  <c r="C18" i="10"/>
  <c r="G644" i="1"/>
  <c r="J644" i="1"/>
  <c r="J475" i="1"/>
  <c r="H625" i="1"/>
  <c r="D29" i="13"/>
  <c r="C29" i="13"/>
  <c r="G660" i="1"/>
  <c r="I660" i="1"/>
  <c r="L361" i="1"/>
  <c r="G634" i="1"/>
  <c r="J634" i="1"/>
  <c r="D126" i="2"/>
  <c r="D127" i="2"/>
  <c r="D144" i="2"/>
  <c r="E121" i="2"/>
  <c r="E127" i="2"/>
  <c r="C13" i="10"/>
  <c r="L289" i="1"/>
  <c r="L337" i="1"/>
  <c r="L351" i="1"/>
  <c r="G632" i="1"/>
  <c r="J632" i="1"/>
  <c r="C10" i="10"/>
  <c r="L228" i="1"/>
  <c r="G659" i="1"/>
  <c r="C109" i="2"/>
  <c r="H256" i="1"/>
  <c r="H270" i="1" s="1"/>
  <c r="K270" i="1"/>
  <c r="C25" i="13"/>
  <c r="H33" i="13"/>
  <c r="C25" i="10"/>
  <c r="E16" i="13"/>
  <c r="E33" i="13"/>
  <c r="D35" i="13"/>
  <c r="C17" i="10"/>
  <c r="C16" i="10"/>
  <c r="C123" i="2"/>
  <c r="G648" i="1"/>
  <c r="J648" i="1"/>
  <c r="F661" i="1"/>
  <c r="I661" i="1"/>
  <c r="C21" i="10"/>
  <c r="D15" i="13"/>
  <c r="C15" i="13"/>
  <c r="C20" i="10"/>
  <c r="L210" i="1"/>
  <c r="D5" i="13"/>
  <c r="C5" i="13" s="1"/>
  <c r="D14" i="13"/>
  <c r="C14" i="13"/>
  <c r="C15" i="10"/>
  <c r="C117" i="2"/>
  <c r="C114" i="2"/>
  <c r="F61" i="2"/>
  <c r="F62" i="2"/>
  <c r="H663" i="1"/>
  <c r="H666" i="1" s="1"/>
  <c r="C102" i="2"/>
  <c r="C61" i="2"/>
  <c r="F111" i="1"/>
  <c r="C36" i="10"/>
  <c r="C35" i="10"/>
  <c r="C55" i="2"/>
  <c r="E31" i="2"/>
  <c r="E50" i="2"/>
  <c r="H51" i="1"/>
  <c r="H618" i="1"/>
  <c r="D31" i="2"/>
  <c r="D50" i="2"/>
  <c r="G51" i="1"/>
  <c r="H617" i="1"/>
  <c r="J617" i="1"/>
  <c r="C31" i="2"/>
  <c r="C50" i="2"/>
  <c r="J616" i="1"/>
  <c r="C18" i="2"/>
  <c r="C24" i="10"/>
  <c r="G31" i="13"/>
  <c r="G33" i="13"/>
  <c r="I337" i="1"/>
  <c r="I351" i="1"/>
  <c r="J649" i="1"/>
  <c r="L406" i="1"/>
  <c r="C139" i="2"/>
  <c r="C140" i="2"/>
  <c r="C143" i="2"/>
  <c r="L570" i="1"/>
  <c r="I191" i="1"/>
  <c r="E90" i="2"/>
  <c r="E103" i="2"/>
  <c r="L407" i="1"/>
  <c r="G636" i="1"/>
  <c r="J636" i="1"/>
  <c r="J653" i="1"/>
  <c r="J652" i="1"/>
  <c r="F143" i="2"/>
  <c r="F144" i="2" s="1"/>
  <c r="G21" i="2"/>
  <c r="G31" i="2"/>
  <c r="J32" i="1"/>
  <c r="L433" i="1"/>
  <c r="G637" i="1"/>
  <c r="J637" i="1"/>
  <c r="J433" i="1"/>
  <c r="F433" i="1"/>
  <c r="K433" i="1"/>
  <c r="G133" i="2"/>
  <c r="G143" i="2"/>
  <c r="G144" i="2"/>
  <c r="F31" i="13"/>
  <c r="F33" i="13"/>
  <c r="J192" i="1"/>
  <c r="G645" i="1"/>
  <c r="F103" i="2"/>
  <c r="H192" i="1"/>
  <c r="G628" i="1"/>
  <c r="J628" i="1"/>
  <c r="G168" i="1"/>
  <c r="C39" i="10"/>
  <c r="G139" i="1"/>
  <c r="F139" i="1"/>
  <c r="G62" i="2"/>
  <c r="G103" i="2"/>
  <c r="G42" i="2"/>
  <c r="J50" i="1"/>
  <c r="G16" i="2"/>
  <c r="J19" i="1"/>
  <c r="G620" i="1"/>
  <c r="G18" i="2"/>
  <c r="F544" i="1"/>
  <c r="H433" i="1"/>
  <c r="J619" i="1"/>
  <c r="J618" i="1"/>
  <c r="D102" i="2"/>
  <c r="D103" i="2"/>
  <c r="I139" i="1"/>
  <c r="I192" i="1"/>
  <c r="G629" i="1"/>
  <c r="J629" i="1"/>
  <c r="A22" i="12"/>
  <c r="G49" i="2"/>
  <c r="G50" i="2"/>
  <c r="H647" i="1"/>
  <c r="J647" i="1"/>
  <c r="J651" i="1"/>
  <c r="J641" i="1"/>
  <c r="G570" i="1"/>
  <c r="I433" i="1"/>
  <c r="G433" i="1"/>
  <c r="I662" i="1"/>
  <c r="C27" i="10"/>
  <c r="L544" i="1"/>
  <c r="H645" i="1"/>
  <c r="J645" i="1"/>
  <c r="G663" i="1"/>
  <c r="G666" i="1" s="1"/>
  <c r="H671" i="1"/>
  <c r="C6" i="10"/>
  <c r="E144" i="2"/>
  <c r="D31" i="13"/>
  <c r="C31" i="13"/>
  <c r="C127" i="2"/>
  <c r="L256" i="1"/>
  <c r="L270" i="1" s="1"/>
  <c r="G631" i="1" s="1"/>
  <c r="C16" i="13"/>
  <c r="F659" i="1"/>
  <c r="F663" i="1"/>
  <c r="F671" i="1"/>
  <c r="C4" i="10"/>
  <c r="C144" i="2"/>
  <c r="C28" i="10"/>
  <c r="D19" i="10" s="1"/>
  <c r="C62" i="2"/>
  <c r="C103" i="2"/>
  <c r="F192" i="1"/>
  <c r="G626" i="1"/>
  <c r="J626" i="1"/>
  <c r="G630" i="1"/>
  <c r="J630" i="1"/>
  <c r="G192" i="1"/>
  <c r="G627" i="1"/>
  <c r="J627" i="1"/>
  <c r="G625" i="1"/>
  <c r="J625" i="1"/>
  <c r="J51" i="1"/>
  <c r="H620" i="1"/>
  <c r="J620" i="1"/>
  <c r="C38" i="10"/>
  <c r="G671" i="1"/>
  <c r="C5" i="10"/>
  <c r="D33" i="13"/>
  <c r="D36" i="13" s="1"/>
  <c r="I659" i="1"/>
  <c r="I663" i="1" s="1"/>
  <c r="F666" i="1"/>
  <c r="D17" i="10"/>
  <c r="D13" i="10"/>
  <c r="D18" i="10"/>
  <c r="D11" i="10"/>
  <c r="D10" i="10"/>
  <c r="C30" i="10"/>
  <c r="D16" i="10"/>
  <c r="D23" i="10"/>
  <c r="D20" i="10"/>
  <c r="D15" i="10"/>
  <c r="D25" i="10"/>
  <c r="C41" i="10"/>
  <c r="D38" i="10"/>
  <c r="D37" i="10"/>
  <c r="D36" i="10"/>
  <c r="D35" i="10"/>
  <c r="D40" i="10"/>
  <c r="D39" i="10"/>
  <c r="D41" i="10"/>
  <c r="J631" i="1" l="1"/>
  <c r="H655" i="1"/>
  <c r="I666" i="1"/>
  <c r="I671" i="1"/>
  <c r="C7" i="10" s="1"/>
  <c r="D26" i="10"/>
  <c r="D22" i="10"/>
  <c r="D24" i="10"/>
  <c r="D12" i="10"/>
  <c r="D21" i="10"/>
  <c r="D27" i="10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<sst xmlns="http://schemas.openxmlformats.org/spreadsheetml/2006/main" count="3946" uniqueCount="912">
  <si>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</si>
  <si>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</si>
  <si>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</si>
  <si>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</si>
  <si>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</si>
  <si>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</si>
  <si>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</si>
  <si>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</si>
  <si>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</si>
  <si>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</si>
  <si>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</si>
  <si>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</si>
  <si>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</si>
  <si>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</si>
  <si>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</si>
  <si>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</si>
  <si>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</si>
  <si>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</si>
  <si>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</si>
  <si>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</si>
  <si>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</si>
  <si>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</si>
  <si>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</si>
  <si>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</si>
  <si>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</si>
  <si>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</si>
  <si>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</si>
  <si>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</si>
  <si>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</si>
  <si>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</si>
  <si>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</si>
  <si>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</si>
  <si>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</si>
  <si>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</si>
  <si>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</si>
  <si>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</si>
  <si>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</si>
  <si>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</si>
  <si>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</si>
  <si>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</si>
  <si>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</si>
  <si>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</si>
  <si>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</si>
  <si>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</si>
  <si>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</si>
  <si>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</si>
  <si>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</si>
  <si>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</si>
  <si>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</si>
  <si>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</si>
  <si>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</si>
  <si>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</si>
  <si>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</si>
  <si>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</si>
  <si>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</si>
  <si>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</si>
  <si>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</si>
  <si>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</si>
  <si>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</si>
  <si>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</si>
  <si>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</si>
  <si>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</si>
  <si>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</si>
  <si>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</si>
  <si>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</si>
  <si>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</si>
  <si>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</si>
  <si>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</si>
  <si>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</si>
  <si>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</si>
  <si>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</si>
  <si>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</si>
  <si>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</si>
  <si>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</si>
  <si>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</si>
  <si>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</si>
  <si>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</si>
  <si>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</si>
  <si>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</si>
  <si>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</si>
  <si>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</si>
  <si>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</si>
  <si>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</si>
  <si>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</si>
  <si>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</si>
  <si>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</si>
  <si>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</si>
  <si>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</si>
  <si>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</si>
  <si>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</si>
  <si>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</si>
  <si>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</si>
  <si>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</si>
  <si>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</si>
  <si>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</si>
  <si>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</si>
  <si>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</si>
  <si>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</si>
  <si>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</si>
  <si>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</si>
  <si>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</si>
  <si>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</si>
  <si>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</si>
  <si>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</si>
  <si>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</si>
  <si>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</si>
  <si>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</si>
  <si>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</si>
  <si>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</si>
  <si>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</si>
  <si>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</si>
  <si>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</si>
  <si>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</si>
  <si>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</si>
  <si>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</si>
  <si>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</si>
  <si>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</si>
  <si>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</si>
  <si>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</si>
  <si>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</si>
  <si>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</si>
  <si>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</si>
  <si>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</si>
  <si>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</si>
  <si>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</si>
  <si>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</si>
  <si>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</si>
  <si>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</si>
  <si>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</si>
  <si>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</si>
  <si>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</si>
  <si>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</si>
  <si>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</si>
  <si>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</si>
  <si>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</si>
  <si>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</si>
  <si>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</si>
  <si>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</si>
  <si>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</si>
  <si>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</si>
  <si>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</si>
  <si>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</si>
  <si>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</si>
  <si>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</si>
  <si>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</si>
  <si>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</si>
  <si>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</si>
  <si>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</si>
  <si>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</si>
  <si>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</si>
  <si>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</si>
  <si>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</si>
  <si>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</si>
  <si>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</si>
  <si>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</si>
  <si>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</si>
  <si>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</si>
  <si>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</si>
  <si>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</si>
  <si>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</si>
  <si>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</si>
  <si>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</si>
  <si>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</si>
  <si>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</si>
  <si>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</si>
  <si>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</si>
  <si>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</si>
  <si>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</si>
  <si>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</si>
  <si>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</si>
  <si>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</si>
  <si>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</si>
  <si>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</si>
  <si>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</si>
  <si>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</si>
  <si>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</si>
  <si>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</si>
  <si>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</si>
  <si>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</si>
  <si>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</si>
  <si>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</si>
  <si>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</si>
  <si>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</si>
  <si>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</si>
  <si>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</si>
  <si>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</si>
  <si>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</si>
  <si>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</si>
  <si>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</si>
  <si>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</si>
  <si>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</si>
  <si>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</si>
  <si>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</si>
  <si>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</si>
  <si>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</si>
  <si>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</si>
  <si>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</si>
  <si>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</si>
  <si>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</si>
  <si>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</si>
  <si>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</si>
  <si>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</si>
  <si>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</si>
  <si>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</si>
  <si>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</si>
  <si>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</si>
  <si>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</si>
  <si>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</si>
  <si>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</si>
  <si>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</si>
  <si>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</si>
  <si>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</si>
  <si>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</si>
  <si>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</si>
  <si>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</si>
  <si>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</si>
  <si>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</si>
  <si>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</si>
  <si>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</si>
  <si>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</si>
  <si>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</si>
  <si>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</si>
  <si>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</si>
  <si>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</si>
  <si>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</si>
  <si>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</si>
  <si>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</si>
  <si>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</si>
  <si>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</si>
  <si>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</si>
  <si>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</si>
  <si>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</si>
  <si>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</si>
  <si>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</si>
  <si>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</si>
  <si>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</si>
  <si>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</si>
  <si>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</si>
  <si>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</si>
  <si>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</si>
  <si>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</si>
  <si>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</si>
  <si>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</si>
  <si>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</si>
  <si>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</si>
  <si>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</si>
  <si>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</si>
  <si>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</si>
  <si>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</si>
  <si>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</si>
  <si>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</si>
  <si>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</si>
  <si>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</si>
  <si>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</si>
  <si>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</si>
  <si>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</si>
  <si>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</si>
  <si>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</si>
  <si>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</si>
  <si>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</si>
  <si>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</si>
  <si>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</si>
  <si>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</si>
  <si>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</si>
  <si>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</si>
  <si>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</si>
  <si>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</si>
  <si>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</si>
  <si>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</si>
  <si>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</si>
  <si>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</si>
  <si>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</si>
  <si>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</si>
  <si>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</si>
  <si>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</si>
  <si>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</si>
  <si>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</si>
  <si>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</si>
  <si>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</si>
  <si>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</si>
  <si>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</si>
  <si>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</si>
  <si>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</si>
  <si>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</si>
  <si>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</si>
  <si>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</si>
  <si>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</si>
  <si>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</si>
  <si>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</si>
  <si>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</si>
  <si>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</si>
  <si>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</si>
  <si>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</si>
  <si>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</si>
  <si>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</si>
  <si>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</si>
  <si>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</si>
  <si>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</si>
  <si>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</si>
  <si>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</si>
  <si>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</si>
  <si>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</si>
  <si>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</si>
  <si>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</si>
  <si>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</si>
  <si>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</si>
  <si>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</si>
  <si>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</si>
  <si>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</si>
  <si>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</si>
  <si>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</si>
  <si>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</si>
  <si>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</si>
  <si>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</si>
  <si>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</si>
  <si>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</si>
  <si>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</si>
  <si>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</si>
  <si>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</si>
  <si>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</si>
  <si>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</si>
  <si>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</si>
  <si>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</si>
  <si>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</si>
  <si>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</si>
  <si>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</si>
  <si>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</si>
  <si>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</si>
  <si>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</si>
  <si>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</si>
  <si>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</si>
  <si>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</si>
  <si>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</si>
  <si>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</si>
  <si>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</si>
  <si>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</si>
  <si>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</si>
  <si>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</si>
  <si>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</si>
  <si>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</si>
  <si>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</si>
  <si>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</si>
  <si>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</si>
  <si>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</si>
  <si>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</si>
  <si>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</si>
  <si>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</si>
  <si>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</si>
  <si>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</si>
  <si>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</si>
  <si>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</si>
  <si>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</si>
  <si>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</si>
  <si>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</si>
  <si>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</si>
  <si>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</si>
  <si>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</si>
  <si>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</si>
  <si>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</si>
  <si>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</si>
  <si>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</si>
  <si>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</si>
  <si>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</si>
  <si>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</si>
  <si>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</si>
  <si>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</si>
  <si>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</si>
  <si>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</si>
  <si>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</si>
  <si>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</si>
  <si>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</si>
  <si>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</si>
  <si>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</si>
  <si>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</si>
  <si>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</si>
  <si>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</si>
  <si>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</si>
  <si>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</si>
  <si>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</si>
  <si>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</si>
  <si>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</si>
  <si>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</si>
  <si>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</si>
  <si>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</si>
  <si>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</si>
  <si>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</si>
  <si>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</si>
  <si>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</si>
  <si>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</si>
  <si>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</si>
  <si>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</si>
  <si>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</si>
  <si>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</si>
  <si>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</si>
  <si>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</si>
  <si>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</si>
  <si>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</si>
  <si>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</si>
  <si>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</si>
  <si>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</si>
  <si>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</si>
  <si>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</si>
  <si>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</si>
  <si>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</si>
  <si>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</si>
  <si>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</si>
  <si>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</si>
  <si>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</si>
  <si>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</si>
  <si>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</si>
  <si>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</si>
  <si>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</si>
  <si>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</si>
  <si>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</si>
  <si>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</si>
  <si>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</si>
  <si>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</si>
  <si>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</si>
  <si>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</si>
  <si>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</si>
  <si>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</si>
  <si>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</si>
  <si>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</si>
  <si>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</si>
  <si>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</si>
  <si>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</si>
  <si>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</si>
  <si>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</si>
  <si>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</si>
  <si>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</si>
  <si>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</si>
  <si>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</si>
  <si>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</si>
  <si>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</si>
  <si>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</si>
  <si>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</si>
  <si>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</si>
  <si>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</si>
  <si>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</si>
  <si>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</si>
  <si>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</si>
  <si>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</si>
  <si>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</si>
  <si>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</si>
  <si>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</si>
  <si>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</si>
  <si>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</si>
  <si>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</si>
  <si>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</si>
  <si>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</si>
  <si>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</si>
  <si>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</si>
  <si>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</si>
  <si>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</si>
  <si>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</si>
  <si>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</si>
  <si>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</si>
  <si>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</si>
  <si>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</si>
  <si>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</si>
  <si>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</si>
  <si>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</si>
  <si>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</si>
  <si>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</si>
  <si>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</si>
  <si>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</si>
  <si>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</si>
  <si>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</si>
  <si>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</si>
  <si>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</si>
  <si>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</si>
  <si>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</si>
  <si>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</si>
  <si>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</si>
  <si>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</si>
  <si>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</si>
  <si>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</si>
  <si>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</si>
  <si>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</si>
  <si>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</si>
  <si>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</si>
  <si>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</si>
  <si>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</si>
  <si>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</si>
  <si>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</si>
  <si>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</si>
  <si>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</si>
  <si>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</si>
  <si>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</si>
  <si>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</si>
  <si>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</si>
  <si>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</si>
  <si>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</si>
  <si>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</si>
  <si>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</si>
  <si>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</si>
  <si>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</si>
  <si>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</si>
  <si>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</si>
  <si>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</si>
  <si>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</si>
  <si>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</si>
  <si>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</si>
  <si>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</si>
  <si>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</si>
  <si>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</si>
  <si>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</si>
  <si>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</si>
  <si>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</si>
  <si>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</si>
  <si>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</si>
  <si>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</si>
  <si>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</si>
  <si>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</si>
  <si>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</si>
  <si>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</si>
  <si>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</si>
  <si>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</si>
  <si>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</si>
  <si>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</si>
  <si>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</si>
  <si>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</si>
  <si>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</si>
  <si>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</si>
  <si>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</si>
  <si>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</si>
  <si>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</si>
  <si>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</si>
  <si>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</si>
  <si>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</si>
  <si>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</si>
  <si>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</si>
  <si>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</si>
  <si>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</si>
  <si>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</si>
  <si>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</si>
  <si>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</si>
  <si>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</si>
  <si>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</si>
  <si>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</si>
  <si>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</si>
  <si>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</si>
  <si>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</si>
  <si>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</si>
  <si>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</si>
  <si>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</si>
  <si>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</si>
  <si>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</si>
  <si>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</si>
  <si>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</si>
  <si>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</si>
  <si>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</si>
  <si>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</si>
  <si>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</si>
  <si>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</si>
  <si>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</si>
  <si>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</si>
  <si>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</si>
  <si>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</si>
  <si>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</si>
  <si>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</si>
  <si>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</si>
  <si>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</si>
  <si>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</si>
  <si>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</si>
  <si>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</si>
  <si>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</si>
  <si>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</si>
  <si>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</si>
  <si>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</si>
  <si>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</si>
  <si>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</si>
  <si>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</si>
  <si>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</si>
  <si>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</si>
  <si>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</si>
  <si>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</si>
  <si>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</si>
  <si>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</si>
  <si>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</si>
  <si>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</si>
  <si>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</si>
  <si>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</si>
  <si>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</si>
  <si>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</si>
  <si>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</si>
  <si>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</si>
  <si>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</si>
  <si>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</si>
  <si>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</si>
  <si>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</si>
  <si>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</si>
  <si>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</si>
  <si>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</si>
  <si>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</si>
  <si>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</si>
  <si>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</si>
  <si>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</si>
  <si>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</si>
  <si>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</si>
  <si>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</si>
  <si>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</si>
  <si>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</si>
  <si>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</si>
  <si>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</si>
  <si>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</si>
  <si>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</si>
  <si>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</si>
  <si>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</si>
  <si>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</si>
  <si>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</si>
  <si>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</si>
  <si>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</si>
  <si>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</si>
  <si>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</si>
  <si>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</si>
  <si>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</si>
  <si>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</si>
  <si>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</si>
  <si>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</si>
  <si>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</si>
  <si>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</si>
  <si>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</si>
  <si>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</si>
  <si>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</si>
  <si>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</si>
  <si>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</si>
  <si>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</si>
  <si>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</si>
  <si>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</si>
  <si>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</si>
  <si>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</si>
  <si>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</si>
  <si>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</si>
  <si>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</si>
  <si>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</si>
  <si>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</si>
  <si>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</si>
  <si>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</si>
  <si>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</si>
  <si>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</si>
  <si>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</si>
  <si>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</si>
  <si>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</si>
  <si>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</si>
  <si>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</si>
  <si>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</si>
  <si>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</si>
  <si>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</si>
  <si>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</si>
  <si>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</si>
  <si>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</si>
  <si>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</si>
  <si>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</si>
  <si>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</si>
  <si>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</si>
  <si>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</si>
  <si>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</si>
  <si>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</si>
  <si>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</si>
  <si>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</si>
  <si>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</si>
  <si>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</si>
  <si>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</si>
  <si>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</si>
  <si>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</si>
  <si>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</si>
  <si>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</si>
  <si>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</si>
  <si>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</si>
  <si>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</si>
  <si>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</si>
  <si>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</si>
  <si>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</si>
  <si>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</si>
  <si>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</si>
  <si>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</si>
  <si>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</si>
  <si>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</si>
  <si>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</si>
  <si>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</si>
  <si>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</si>
  <si>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</si>
  <si>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</si>
  <si>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</si>
  <si>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</si>
  <si>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</si>
  <si>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</si>
  <si>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</si>
  <si>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</si>
  <si>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</si>
  <si>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</si>
  <si>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</si>
  <si>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</si>
  <si>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</si>
  <si>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</si>
  <si>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</si>
  <si>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</si>
  <si>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</si>
  <si>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</si>
  <si>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</si>
  <si>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</si>
  <si>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</si>
  <si>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</si>
  <si>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</si>
  <si>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</si>
  <si>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</si>
  <si>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</si>
  <si>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</si>
  <si>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</si>
  <si>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</si>
  <si>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</si>
  <si>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</si>
  <si>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</si>
  <si>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</si>
  <si>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</si>
  <si>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</si>
  <si>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</si>
  <si>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</si>
  <si>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</si>
  <si>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</si>
  <si>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</si>
  <si>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</si>
  <si>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</si>
  <si>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</si>
  <si>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</si>
  <si>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</si>
  <si>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</si>
  <si>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</si>
  <si>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</si>
  <si>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</si>
  <si>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</si>
  <si>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</si>
  <si>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</si>
  <si>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</si>
  <si>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</si>
  <si>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</si>
  <si>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</si>
  <si>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</si>
  <si>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</si>
  <si>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</si>
  <si>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</si>
  <si>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</si>
  <si>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</si>
  <si>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</si>
  <si>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</si>
  <si>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</si>
  <si>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</si>
  <si>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</si>
  <si>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</si>
  <si>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</si>
  <si>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</si>
  <si>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</si>
  <si>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</si>
  <si>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</si>
  <si>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</si>
  <si>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</si>
  <si>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</si>
  <si>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</si>
  <si>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</si>
  <si>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</si>
  <si>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</si>
  <si>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</si>
  <si>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</si>
  <si>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</si>
  <si>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</si>
  <si>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</si>
  <si>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</si>
  <si>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</si>
  <si>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</si>
  <si>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</si>
  <si>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</si>
  <si>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</si>
  <si>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</si>
  <si>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</si>
  <si>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</si>
  <si>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</si>
  <si>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</si>
  <si>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</si>
  <si>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</si>
  <si>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</si>
  <si>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</si>
  <si>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</si>
  <si>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</si>
  <si>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</si>
  <si>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</si>
  <si>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</si>
  <si>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</si>
  <si>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</si>
  <si>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</si>
  <si>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</si>
  <si>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</si>
  <si>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</si>
  <si>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</si>
  <si>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</si>
  <si>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</si>
  <si>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</si>
  <si>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</si>
  <si>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</si>
  <si>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</si>
  <si>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</si>
  <si>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</si>
  <si>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</si>
  <si>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</si>
  <si>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</si>
  <si>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</si>
  <si>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</si>
  <si>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</si>
  <si>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</si>
  <si>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</si>
  <si>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</si>
  <si>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</si>
  <si>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</si>
  <si>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</si>
  <si>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</si>
  <si>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</si>
  <si>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</si>
  <si>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</si>
  <si>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</si>
  <si>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</si>
  <si>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</si>
  <si>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</si>
  <si>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</si>
  <si>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</si>
  <si>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</si>
  <si>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</si>
  <si>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</si>
  <si>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</si>
  <si>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</si>
  <si>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</si>
  <si>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</si>
  <si>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</si>
  <si>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</si>
  <si>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</si>
  <si>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</si>
  <si>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</si>
  <si>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</si>
  <si>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</si>
  <si>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</si>
  <si>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</si>
  <si>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</si>
  <si>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</si>
  <si>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</si>
  <si>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</si>
  <si>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</si>
  <si>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</si>
  <si>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</si>
  <si>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</si>
  <si>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</si>
  <si>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</si>
  <si>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</si>
  <si>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</si>
  <si>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</si>
  <si>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</si>
  <si>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</si>
  <si>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</si>
  <si>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</si>
  <si>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</si>
  <si>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</si>
  <si>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</si>
  <si>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</si>
  <si>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</si>
  <si>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</si>
  <si>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</si>
  <si>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</si>
  <si>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</si>
  <si>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</si>
  <si>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</si>
  <si>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</si>
  <si>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</si>
  <si>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</si>
  <si>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</si>
  <si>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</si>
  <si>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</si>
  <si>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</si>
  <si>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</si>
  <si>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</si>
  <si>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</si>
  <si>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</si>
  <si>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</si>
  <si>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</si>
  <si>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</si>
  <si>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</si>
  <si>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</si>
  <si>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</si>
  <si>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</si>
  <si>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</si>
  <si>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</si>
  <si>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</si>
  <si>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</si>
  <si>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</si>
  <si>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</si>
  <si>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</si>
  <si>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</si>
  <si>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</si>
  <si>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</si>
  <si>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</si>
  <si>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</si>
  <si>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</si>
  <si>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</si>
  <si>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</si>
  <si>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</si>
  <si>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</si>
  <si>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</si>
  <si>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</si>
  <si>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</si>
  <si>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</si>
  <si>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</si>
  <si>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</si>
  <si>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Marlborough School District</t>
  </si>
  <si>
    <t>07/08</t>
  </si>
  <si>
    <t>08/28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</si>
</sst>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topLeftCell="A639" zoomScale="110" zoomScaleNormal="110" workbookViewId="0">
      <selection activeCell="H214" sqref="H214:H21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339</v>
      </c>
      <c r="C2" s="21">
        <v>339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146410.8+100-61546.39</f>
        <v>84964.409999999989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455.54</v>
      </c>
      <c r="G10" s="18"/>
      <c r="H10" s="18"/>
      <c r="I10" s="18"/>
      <c r="J10" s="67">
        <f>SUM(I439)</f>
        <v>559166.94999999995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7007.6+28840.68</f>
        <v>35848.28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316.13</v>
      </c>
      <c r="G13" s="18">
        <v>9841.14</v>
      </c>
      <c r="H13" s="18">
        <v>31307.64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576.32000000000005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121584.35999999999</v>
      </c>
      <c r="G19" s="41">
        <f>SUM(G9:G18)</f>
        <v>10417.459999999999</v>
      </c>
      <c r="H19" s="41">
        <f>SUM(H9:H18)</f>
        <v>31307.64</v>
      </c>
      <c r="I19" s="41">
        <f>SUM(I9:I18)</f>
        <v>0</v>
      </c>
      <c r="J19" s="41">
        <f>SUM(J9:J18)</f>
        <v>559166.94999999995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7007.6</v>
      </c>
      <c r="H22" s="18">
        <v>28840.68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921.05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18120.12</v>
      </c>
      <c r="G24" s="18">
        <v>543.74</v>
      </c>
      <c r="H24" s="18">
        <v>27.53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16607.53</v>
      </c>
      <c r="G28" s="18">
        <v>1930.04</v>
      </c>
      <c r="H28" s="18">
        <v>2439.4299999999998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936.08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35648.699999999997</v>
      </c>
      <c r="G32" s="41">
        <f>SUM(G22:G31)</f>
        <v>10417.460000000001</v>
      </c>
      <c r="H32" s="41">
        <f>SUM(H22:H31)</f>
        <v>31307.64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559166.94999999995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85935.66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85935.66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559166.94999999995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121584.36</v>
      </c>
      <c r="G51" s="41">
        <f>G50+G32</f>
        <v>10417.460000000001</v>
      </c>
      <c r="H51" s="41">
        <f>H50+H32</f>
        <v>31307.64</v>
      </c>
      <c r="I51" s="41">
        <f>I50+I32</f>
        <v>0</v>
      </c>
      <c r="J51" s="41">
        <f>J50+J32</f>
        <v>559166.94999999995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2463923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2463923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12566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12566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164.57</v>
      </c>
      <c r="G95" s="18"/>
      <c r="H95" s="18"/>
      <c r="I95" s="18">
        <v>0</v>
      </c>
      <c r="J95" s="18">
        <f>20.11+34.92</f>
        <v>55.03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21829.14+1927.55+2058.9+1973.15+44</f>
        <v>27832.74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6920</v>
      </c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1670.98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5354.35+3963.15</f>
        <v>9317.5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18073.05</v>
      </c>
      <c r="G110" s="41">
        <f>SUM(G95:G109)</f>
        <v>27832.74</v>
      </c>
      <c r="H110" s="41">
        <f>SUM(H95:H109)</f>
        <v>0</v>
      </c>
      <c r="I110" s="41">
        <f>SUM(I95:I109)</f>
        <v>0</v>
      </c>
      <c r="J110" s="41">
        <f>SUM(J95:J109)</f>
        <v>55.03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2494562.0499999998</v>
      </c>
      <c r="G111" s="41">
        <f>G59+G110</f>
        <v>27832.74</v>
      </c>
      <c r="H111" s="41">
        <f>H59+H78+H93+H110</f>
        <v>0</v>
      </c>
      <c r="I111" s="41">
        <f>I59+I110</f>
        <v>0</v>
      </c>
      <c r="J111" s="41">
        <f>J59+J110</f>
        <v>55.03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1182556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447480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1630036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317648.65999999997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175392.38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1006.01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493041.04</v>
      </c>
      <c r="G135" s="41">
        <f>SUM(G122:G134)</f>
        <v>1006.01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2123077.04</v>
      </c>
      <c r="G139" s="41">
        <f>G120+SUM(G135:G136)</f>
        <v>1006.01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f>1196.77+6885.13</f>
        <v>8081.9</v>
      </c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46.07+38874.35</f>
        <v>38920.42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9158.61+12067.67+9291.21</f>
        <v>30517.489999999998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43258.14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2169.37+161.86+23562.76+1788.78</f>
        <v>27682.769999999997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19453.38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19453.38</v>
      </c>
      <c r="G161" s="41">
        <f>SUM(G149:G160)</f>
        <v>43258.14</v>
      </c>
      <c r="H161" s="41">
        <f>SUM(H149:H160)</f>
        <v>105202.57999999999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19453.38</v>
      </c>
      <c r="G168" s="41">
        <f>G146+G161+SUM(G162:G167)</f>
        <v>43258.14</v>
      </c>
      <c r="H168" s="41">
        <f>H146+H161+SUM(H162:H167)</f>
        <v>105202.57999999999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27133.14</v>
      </c>
      <c r="H178" s="18"/>
      <c r="I178" s="18"/>
      <c r="J178" s="18">
        <v>200000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93743.9</v>
      </c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93743.9</v>
      </c>
      <c r="G182" s="41">
        <f>SUM(G178:G181)</f>
        <v>27133.14</v>
      </c>
      <c r="H182" s="41">
        <f>SUM(H178:H181)</f>
        <v>0</v>
      </c>
      <c r="I182" s="41">
        <f>SUM(I178:I181)</f>
        <v>0</v>
      </c>
      <c r="J182" s="41">
        <f>SUM(J178:J181)</f>
        <v>200000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50008.63</v>
      </c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143752.53</v>
      </c>
      <c r="G191" s="41">
        <f>G182+SUM(G187:G190)</f>
        <v>27133.14</v>
      </c>
      <c r="H191" s="41">
        <f>+H182+SUM(H187:H190)</f>
        <v>0</v>
      </c>
      <c r="I191" s="41">
        <f>I176+I182+SUM(I187:I190)</f>
        <v>0</v>
      </c>
      <c r="J191" s="41">
        <f>J182</f>
        <v>200000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4780845</v>
      </c>
      <c r="G192" s="47">
        <f>G111+G139+G168+G191</f>
        <v>99230.03</v>
      </c>
      <c r="H192" s="47">
        <f>H111+H139+H168+H191</f>
        <v>105202.57999999999</v>
      </c>
      <c r="I192" s="47">
        <f>I111+I139+I168+I191</f>
        <v>0</v>
      </c>
      <c r="J192" s="47">
        <f>J111+J139+J191</f>
        <v>200055.03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924307.61</v>
      </c>
      <c r="G196" s="18">
        <v>387846.76</v>
      </c>
      <c r="H196" s="18">
        <v>6213.1</v>
      </c>
      <c r="I196" s="18">
        <v>45969.86</v>
      </c>
      <c r="J196" s="18">
        <v>949.22</v>
      </c>
      <c r="K196" s="18"/>
      <c r="L196" s="19">
        <f>SUM(F196:K196)</f>
        <v>1365286.5500000003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236261.61+16607.54</f>
        <v>252869.15</v>
      </c>
      <c r="G197" s="18">
        <f>82762.63+1328.49</f>
        <v>84091.12000000001</v>
      </c>
      <c r="H197" s="18">
        <v>41595.07</v>
      </c>
      <c r="I197" s="18">
        <v>319.55</v>
      </c>
      <c r="J197" s="18"/>
      <c r="K197" s="18"/>
      <c r="L197" s="19">
        <f>SUM(F197:K197)</f>
        <v>378874.89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11799.99+2290</f>
        <v>14089.99</v>
      </c>
      <c r="G199" s="18">
        <f>1367.96+183.21</f>
        <v>1551.17</v>
      </c>
      <c r="H199" s="18">
        <v>6081.5</v>
      </c>
      <c r="I199" s="18">
        <v>2658</v>
      </c>
      <c r="J199" s="18">
        <v>523.21</v>
      </c>
      <c r="K199" s="18">
        <v>10636.28</v>
      </c>
      <c r="L199" s="19">
        <f>SUM(F199:K199)</f>
        <v>35540.15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73717.12+43396.02</f>
        <v>117113.13999999998</v>
      </c>
      <c r="G201" s="18">
        <f>28711.46+3471.7</f>
        <v>32183.16</v>
      </c>
      <c r="H201" s="18">
        <f>200+8425.8+11395.03+38610.77+1425+16970.21</f>
        <v>77026.81</v>
      </c>
      <c r="I201" s="18">
        <f>122.03+936.86+157.15</f>
        <v>1216.0400000000002</v>
      </c>
      <c r="J201" s="18">
        <v>160</v>
      </c>
      <c r="K201" s="18">
        <v>155</v>
      </c>
      <c r="L201" s="19">
        <f t="shared" ref="L201:L207" si="0">SUM(F201:K201)</f>
        <v>227854.15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3750+41253.12</f>
        <v>45003.12</v>
      </c>
      <c r="G202" s="18">
        <f>695.79+6999+26438.59</f>
        <v>34133.379999999997</v>
      </c>
      <c r="H202" s="18">
        <f>1141.82+2716.25</f>
        <v>3858.0699999999997</v>
      </c>
      <c r="I202" s="18">
        <f>599.88+8502.79</f>
        <v>9102.67</v>
      </c>
      <c r="J202" s="18">
        <v>771.09</v>
      </c>
      <c r="K202" s="18"/>
      <c r="L202" s="19">
        <f t="shared" si="0"/>
        <v>92868.33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5875.75+85+2400</f>
        <v>8360.75</v>
      </c>
      <c r="G203" s="18">
        <f>465.71+6.8+192</f>
        <v>664.51</v>
      </c>
      <c r="H203" s="18">
        <f>221.7+200+8125+6155.46+200+192759</f>
        <v>207661.16</v>
      </c>
      <c r="I203" s="18">
        <v>1906.11</v>
      </c>
      <c r="J203" s="18"/>
      <c r="K203" s="18">
        <v>2561.6</v>
      </c>
      <c r="L203" s="19">
        <f t="shared" si="0"/>
        <v>221154.13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167327.20000000001</v>
      </c>
      <c r="G204" s="18">
        <v>39094.99</v>
      </c>
      <c r="H204" s="18">
        <v>4923.83</v>
      </c>
      <c r="I204" s="18">
        <f>2730.45+613.44</f>
        <v>3343.89</v>
      </c>
      <c r="J204" s="18"/>
      <c r="K204" s="18"/>
      <c r="L204" s="19">
        <f t="shared" si="0"/>
        <v>214689.91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68407.199999999997</v>
      </c>
      <c r="G206" s="18">
        <v>33295.85</v>
      </c>
      <c r="H206" s="18">
        <v>68953.009999999995</v>
      </c>
      <c r="I206" s="18">
        <v>93879.6</v>
      </c>
      <c r="J206" s="18">
        <v>1775.68</v>
      </c>
      <c r="K206" s="18"/>
      <c r="L206" s="19">
        <f t="shared" si="0"/>
        <v>266311.34000000003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98879.59+7565.8+3545.13</f>
        <v>109990.52</v>
      </c>
      <c r="I207" s="18"/>
      <c r="J207" s="18"/>
      <c r="K207" s="18"/>
      <c r="L207" s="19">
        <f t="shared" si="0"/>
        <v>109990.52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>
        <v>920.87</v>
      </c>
      <c r="H208" s="18">
        <f>1136.75+7503.11</f>
        <v>8639.86</v>
      </c>
      <c r="I208" s="18">
        <v>3128.54</v>
      </c>
      <c r="J208" s="18">
        <v>30552.5</v>
      </c>
      <c r="K208" s="18"/>
      <c r="L208" s="19">
        <f>SUM(F208:K208)</f>
        <v>43241.770000000004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1597478.16</v>
      </c>
      <c r="G210" s="41">
        <f t="shared" si="1"/>
        <v>613781.80999999994</v>
      </c>
      <c r="H210" s="41">
        <f t="shared" si="1"/>
        <v>534942.92999999993</v>
      </c>
      <c r="I210" s="41">
        <f t="shared" si="1"/>
        <v>161524.26</v>
      </c>
      <c r="J210" s="41">
        <f t="shared" si="1"/>
        <v>34731.699999999997</v>
      </c>
      <c r="K210" s="41">
        <f t="shared" si="1"/>
        <v>13352.880000000001</v>
      </c>
      <c r="L210" s="41">
        <f t="shared" si="1"/>
        <v>2955811.74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792387.97</v>
      </c>
      <c r="I232" s="18"/>
      <c r="J232" s="18"/>
      <c r="K232" s="18"/>
      <c r="L232" s="19">
        <f>SUM(F232:K232)</f>
        <v>792387.97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f>318443.44+89955.45</f>
        <v>408398.89</v>
      </c>
      <c r="I233" s="18"/>
      <c r="J233" s="18"/>
      <c r="K233" s="18"/>
      <c r="L233" s="19">
        <f>SUM(F233:K233)</f>
        <v>408398.89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29047.65</v>
      </c>
      <c r="I243" s="18"/>
      <c r="J243" s="18"/>
      <c r="K243" s="18"/>
      <c r="L243" s="19">
        <f t="shared" si="4"/>
        <v>29047.65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1229834.5099999998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1229834.5099999998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>
        <v>6920</v>
      </c>
      <c r="L252" s="19">
        <f t="shared" si="6"/>
        <v>6920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6920</v>
      </c>
      <c r="L255" s="41">
        <f>SUM(F255:K255)</f>
        <v>6920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1597478.16</v>
      </c>
      <c r="G256" s="41">
        <f t="shared" si="8"/>
        <v>613781.80999999994</v>
      </c>
      <c r="H256" s="41">
        <f t="shared" si="8"/>
        <v>1764777.4399999997</v>
      </c>
      <c r="I256" s="41">
        <f t="shared" si="8"/>
        <v>161524.26</v>
      </c>
      <c r="J256" s="41">
        <f t="shared" si="8"/>
        <v>34731.699999999997</v>
      </c>
      <c r="K256" s="41">
        <f t="shared" si="8"/>
        <v>20272.88</v>
      </c>
      <c r="L256" s="41">
        <f t="shared" si="8"/>
        <v>4192566.25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676295.29</v>
      </c>
      <c r="L259" s="19">
        <f>SUM(F259:K259)</f>
        <v>676295.29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141004.71</v>
      </c>
      <c r="L260" s="19">
        <f>SUM(F260:K260)</f>
        <v>141004.71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27133.14</v>
      </c>
      <c r="L262" s="19">
        <f>SUM(F262:K262)</f>
        <v>27133.14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f>100000+100000</f>
        <v>200000</v>
      </c>
      <c r="L265" s="19">
        <f t="shared" si="9"/>
        <v>200000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1044433.14</v>
      </c>
      <c r="L269" s="41">
        <f t="shared" si="9"/>
        <v>1044433.14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1597478.16</v>
      </c>
      <c r="G270" s="42">
        <f t="shared" si="11"/>
        <v>613781.80999999994</v>
      </c>
      <c r="H270" s="42">
        <f t="shared" si="11"/>
        <v>1764777.4399999997</v>
      </c>
      <c r="I270" s="42">
        <f t="shared" si="11"/>
        <v>161524.26</v>
      </c>
      <c r="J270" s="42">
        <f t="shared" si="11"/>
        <v>34731.699999999997</v>
      </c>
      <c r="K270" s="42">
        <f t="shared" si="11"/>
        <v>1064706.02</v>
      </c>
      <c r="L270" s="42">
        <f t="shared" si="11"/>
        <v>5236999.3899999997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31954.04</v>
      </c>
      <c r="G275" s="18">
        <f>116.76+2444.45+111.88</f>
        <v>2673.09</v>
      </c>
      <c r="H275" s="18"/>
      <c r="I275" s="18">
        <f>715.08+834.92</f>
        <v>1550</v>
      </c>
      <c r="J275" s="18">
        <f>481.69+6050.21</f>
        <v>6531.9</v>
      </c>
      <c r="K275" s="18"/>
      <c r="L275" s="19">
        <f>SUM(F275:K275)</f>
        <v>42709.030000000006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2970+10145.22</f>
        <v>13115.22</v>
      </c>
      <c r="G276" s="18">
        <f>39.55+1056.73+183.09</f>
        <v>1279.3699999999999</v>
      </c>
      <c r="H276" s="18">
        <v>45.91</v>
      </c>
      <c r="I276" s="18">
        <f>6284.9+1735</f>
        <v>8019.9</v>
      </c>
      <c r="J276" s="18"/>
      <c r="K276" s="18"/>
      <c r="L276" s="19">
        <f>SUM(F276:K276)</f>
        <v>22460.400000000001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f>1580+276.12</f>
        <v>1856.12</v>
      </c>
      <c r="G278" s="18">
        <f>87.72+178.55+6.49</f>
        <v>272.76</v>
      </c>
      <c r="H278" s="18"/>
      <c r="I278" s="18"/>
      <c r="J278" s="18"/>
      <c r="K278" s="18"/>
      <c r="L278" s="19">
        <f>SUM(F278:K278)</f>
        <v>2128.88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7500+5375+2500</f>
        <v>15375</v>
      </c>
      <c r="G281" s="18">
        <f>573.77+411.71+692.13+508.53+26.25+18.84+191.25+226+8</f>
        <v>2656.4800000000005</v>
      </c>
      <c r="H281" s="18">
        <v>6000</v>
      </c>
      <c r="I281" s="18">
        <v>5245</v>
      </c>
      <c r="J281" s="18"/>
      <c r="K281" s="18"/>
      <c r="L281" s="19">
        <f t="shared" si="12"/>
        <v>29276.48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>
        <v>3125</v>
      </c>
      <c r="I282" s="18"/>
      <c r="J282" s="18"/>
      <c r="K282" s="18"/>
      <c r="L282" s="19">
        <f t="shared" si="12"/>
        <v>3125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5202.79</v>
      </c>
      <c r="L284" s="19">
        <f t="shared" si="12"/>
        <v>5202.79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>
        <v>300</v>
      </c>
      <c r="J287" s="18"/>
      <c r="K287" s="18"/>
      <c r="L287" s="19">
        <f>SUM(F287:K287)</f>
        <v>300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62300.380000000005</v>
      </c>
      <c r="G289" s="42">
        <f t="shared" si="13"/>
        <v>6881.7000000000007</v>
      </c>
      <c r="H289" s="42">
        <f t="shared" si="13"/>
        <v>9170.91</v>
      </c>
      <c r="I289" s="42">
        <f t="shared" si="13"/>
        <v>15114.9</v>
      </c>
      <c r="J289" s="42">
        <f t="shared" si="13"/>
        <v>6531.9</v>
      </c>
      <c r="K289" s="42">
        <f t="shared" si="13"/>
        <v>5202.79</v>
      </c>
      <c r="L289" s="41">
        <f t="shared" si="13"/>
        <v>105202.58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62300.380000000005</v>
      </c>
      <c r="G337" s="41">
        <f t="shared" si="20"/>
        <v>6881.7000000000007</v>
      </c>
      <c r="H337" s="41">
        <f t="shared" si="20"/>
        <v>9170.91</v>
      </c>
      <c r="I337" s="41">
        <f t="shared" si="20"/>
        <v>15114.9</v>
      </c>
      <c r="J337" s="41">
        <f t="shared" si="20"/>
        <v>6531.9</v>
      </c>
      <c r="K337" s="41">
        <f t="shared" si="20"/>
        <v>5202.79</v>
      </c>
      <c r="L337" s="41">
        <f t="shared" si="20"/>
        <v>105202.58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62300.380000000005</v>
      </c>
      <c r="G351" s="41">
        <f>G337</f>
        <v>6881.7000000000007</v>
      </c>
      <c r="H351" s="41">
        <f>H337</f>
        <v>9170.91</v>
      </c>
      <c r="I351" s="41">
        <f>I337</f>
        <v>15114.9</v>
      </c>
      <c r="J351" s="41">
        <f>J337</f>
        <v>6531.9</v>
      </c>
      <c r="K351" s="47">
        <f>K337+K350</f>
        <v>5202.79</v>
      </c>
      <c r="L351" s="41">
        <f>L337+L350</f>
        <v>105202.58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38224.61</v>
      </c>
      <c r="G357" s="18">
        <f>18373.6+700+40.04+88.52+2748.63+2015.37+775.59</f>
        <v>24741.75</v>
      </c>
      <c r="H357" s="18">
        <f>5500+1290.97</f>
        <v>6790.97</v>
      </c>
      <c r="I357" s="18">
        <f>1883.94+25412.54+325</f>
        <v>27621.48</v>
      </c>
      <c r="J357" s="18">
        <v>543.74</v>
      </c>
      <c r="K357" s="18">
        <v>1307.48</v>
      </c>
      <c r="L357" s="13">
        <f>SUM(F357:K357)</f>
        <v>99230.03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38224.61</v>
      </c>
      <c r="G361" s="47">
        <f t="shared" si="22"/>
        <v>24741.75</v>
      </c>
      <c r="H361" s="47">
        <f t="shared" si="22"/>
        <v>6790.97</v>
      </c>
      <c r="I361" s="47">
        <f t="shared" si="22"/>
        <v>27621.48</v>
      </c>
      <c r="J361" s="47">
        <f t="shared" si="22"/>
        <v>543.74</v>
      </c>
      <c r="K361" s="47">
        <f t="shared" si="22"/>
        <v>1307.48</v>
      </c>
      <c r="L361" s="47">
        <f t="shared" si="22"/>
        <v>99230.03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25412.54</v>
      </c>
      <c r="G366" s="18"/>
      <c r="H366" s="18"/>
      <c r="I366" s="56">
        <f>SUM(F366:H366)</f>
        <v>25412.54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325+1883.94</f>
        <v>2208.94</v>
      </c>
      <c r="G367" s="63"/>
      <c r="H367" s="63"/>
      <c r="I367" s="56">
        <f>SUM(F367:H367)</f>
        <v>2208.94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27621.48</v>
      </c>
      <c r="G368" s="47">
        <f>SUM(G366:G367)</f>
        <v>0</v>
      </c>
      <c r="H368" s="47">
        <f>SUM(H366:H367)</f>
        <v>0</v>
      </c>
      <c r="I368" s="47">
        <f>SUM(I366:I367)</f>
        <v>27621.48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>
        <v>1808.95</v>
      </c>
      <c r="I377" s="18"/>
      <c r="J377" s="18"/>
      <c r="K377" s="18"/>
      <c r="L377" s="13">
        <f t="shared" si="23"/>
        <v>1808.95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>
        <v>23157</v>
      </c>
      <c r="L378" s="13">
        <f t="shared" si="23"/>
        <v>23157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70285.240000000005</v>
      </c>
      <c r="L380" s="13">
        <f t="shared" si="23"/>
        <v>70285.240000000005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1808.95</v>
      </c>
      <c r="I381" s="41">
        <f t="shared" si="24"/>
        <v>0</v>
      </c>
      <c r="J381" s="47">
        <f t="shared" si="24"/>
        <v>0</v>
      </c>
      <c r="K381" s="47">
        <f t="shared" si="24"/>
        <v>93442.240000000005</v>
      </c>
      <c r="L381" s="47">
        <f t="shared" si="24"/>
        <v>95251.19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100000</v>
      </c>
      <c r="H388" s="18">
        <v>34.92</v>
      </c>
      <c r="I388" s="18"/>
      <c r="J388" s="24" t="s">
        <v>289</v>
      </c>
      <c r="K388" s="24" t="s">
        <v>289</v>
      </c>
      <c r="L388" s="56">
        <f t="shared" si="25"/>
        <v>100034.92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100000</v>
      </c>
      <c r="H392" s="139">
        <f>SUM(H386:H391)</f>
        <v>34.92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100034.92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100000</v>
      </c>
      <c r="H397" s="18">
        <v>20.11</v>
      </c>
      <c r="I397" s="18"/>
      <c r="J397" s="24" t="s">
        <v>289</v>
      </c>
      <c r="K397" s="24" t="s">
        <v>289</v>
      </c>
      <c r="L397" s="56">
        <f t="shared" si="26"/>
        <v>100020.11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100000</v>
      </c>
      <c r="H400" s="47">
        <f>SUM(H394:H399)</f>
        <v>20.11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100020.11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200000</v>
      </c>
      <c r="H407" s="47">
        <f>H392+H400+H406</f>
        <v>55.03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200055.03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335978.08</v>
      </c>
      <c r="G439" s="18">
        <v>223188.87</v>
      </c>
      <c r="H439" s="18"/>
      <c r="I439" s="56">
        <f t="shared" si="33"/>
        <v>559166.94999999995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335978.08</v>
      </c>
      <c r="G445" s="13">
        <f>SUM(G438:G444)</f>
        <v>223188.87</v>
      </c>
      <c r="H445" s="13">
        <f>SUM(H438:H444)</f>
        <v>0</v>
      </c>
      <c r="I445" s="13">
        <f>SUM(I438:I444)</f>
        <v>559166.94999999995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335978.08</v>
      </c>
      <c r="G458" s="18">
        <v>223188.87</v>
      </c>
      <c r="H458" s="18"/>
      <c r="I458" s="56">
        <f t="shared" si="34"/>
        <v>559166.94999999995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335978.08</v>
      </c>
      <c r="G459" s="83">
        <f>SUM(G453:G458)</f>
        <v>223188.87</v>
      </c>
      <c r="H459" s="83">
        <f>SUM(H453:H458)</f>
        <v>0</v>
      </c>
      <c r="I459" s="83">
        <f>SUM(I453:I458)</f>
        <v>559166.94999999995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335978.08</v>
      </c>
      <c r="G460" s="42">
        <f>G451+G459</f>
        <v>223188.87</v>
      </c>
      <c r="H460" s="42">
        <f>H451+H459</f>
        <v>0</v>
      </c>
      <c r="I460" s="42">
        <f>I451+I459</f>
        <v>559166.94999999995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542090.05000000005</v>
      </c>
      <c r="G464" s="18">
        <v>0</v>
      </c>
      <c r="H464" s="18">
        <v>0</v>
      </c>
      <c r="I464" s="18">
        <v>95251.19</v>
      </c>
      <c r="J464" s="18">
        <v>359111.92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4780845</v>
      </c>
      <c r="G467" s="18">
        <v>99230.03</v>
      </c>
      <c r="H467" s="18">
        <v>105202.58</v>
      </c>
      <c r="I467" s="18">
        <v>0</v>
      </c>
      <c r="J467" s="18">
        <f>100000+20.11+100000+34.92</f>
        <v>200055.03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4780845</v>
      </c>
      <c r="G469" s="53">
        <f>SUM(G467:G468)</f>
        <v>99230.03</v>
      </c>
      <c r="H469" s="53">
        <f>SUM(H467:H468)</f>
        <v>105202.58</v>
      </c>
      <c r="I469" s="53">
        <f>SUM(I467:I468)</f>
        <v>0</v>
      </c>
      <c r="J469" s="53">
        <f>SUM(J467:J468)</f>
        <v>200055.03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5236999.3899999997</v>
      </c>
      <c r="G471" s="18">
        <v>99230.03</v>
      </c>
      <c r="H471" s="18">
        <v>105202.58</v>
      </c>
      <c r="I471" s="18">
        <v>95251.19</v>
      </c>
      <c r="J471" s="18">
        <v>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5236999.3899999997</v>
      </c>
      <c r="G473" s="53">
        <f>SUM(G471:G472)</f>
        <v>99230.03</v>
      </c>
      <c r="H473" s="53">
        <f>SUM(H471:H472)</f>
        <v>105202.58</v>
      </c>
      <c r="I473" s="53">
        <f>SUM(I471:I472)</f>
        <v>95251.19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85935.660000000149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559166.94999999995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10960000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4.33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8248790.5199999996</v>
      </c>
      <c r="G494" s="18"/>
      <c r="H494" s="18"/>
      <c r="I494" s="18"/>
      <c r="J494" s="18"/>
      <c r="K494" s="53">
        <f>SUM(F494:J494)</f>
        <v>8248790.5199999996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676295.29</v>
      </c>
      <c r="G496" s="18"/>
      <c r="H496" s="18"/>
      <c r="I496" s="18"/>
      <c r="J496" s="18"/>
      <c r="K496" s="53">
        <f t="shared" si="35"/>
        <v>676295.29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7572495.2300000004</v>
      </c>
      <c r="G497" s="204"/>
      <c r="H497" s="204"/>
      <c r="I497" s="204"/>
      <c r="J497" s="204"/>
      <c r="K497" s="205">
        <f t="shared" si="35"/>
        <v>7572495.2300000004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5663059.48-100712.38-40292.33</f>
        <v>5522054.7700000005</v>
      </c>
      <c r="G498" s="18"/>
      <c r="H498" s="18"/>
      <c r="I498" s="18"/>
      <c r="J498" s="18"/>
      <c r="K498" s="53">
        <f t="shared" si="35"/>
        <v>5522054.7700000005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13094550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13094550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f>486577.4+160353.3</f>
        <v>646930.69999999995</v>
      </c>
      <c r="G500" s="204"/>
      <c r="H500" s="204"/>
      <c r="I500" s="204"/>
      <c r="J500" s="204"/>
      <c r="K500" s="205">
        <f t="shared" si="35"/>
        <v>646930.69999999995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124885.1+45740.45</f>
        <v>170625.55</v>
      </c>
      <c r="G501" s="18"/>
      <c r="H501" s="18"/>
      <c r="I501" s="18"/>
      <c r="J501" s="18"/>
      <c r="K501" s="53">
        <f t="shared" si="35"/>
        <v>170625.55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817556.25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817556.25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124548.06+19175.01+92538.54+2970+10145.22</f>
        <v>249376.83</v>
      </c>
      <c r="G520" s="18">
        <f>45593.48+1897+154.04+921.34+17593.09+15776.86+826.82+39.55+1056.73+183.09+45.91</f>
        <v>84087.91</v>
      </c>
      <c r="H520" s="18">
        <f>9637.05+28598.02</f>
        <v>38235.07</v>
      </c>
      <c r="I520" s="18">
        <f>128.15+191.4+6284.9</f>
        <v>6604.45</v>
      </c>
      <c r="J520" s="18"/>
      <c r="K520" s="18"/>
      <c r="L520" s="88">
        <f>SUM(F520:K520)</f>
        <v>378304.26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408398.89</v>
      </c>
      <c r="I522" s="18"/>
      <c r="J522" s="18"/>
      <c r="K522" s="18"/>
      <c r="L522" s="88">
        <f>SUM(F522:K522)</f>
        <v>408398.89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249376.83</v>
      </c>
      <c r="G523" s="108">
        <f t="shared" ref="G523:L523" si="36">SUM(G520:G522)</f>
        <v>84087.91</v>
      </c>
      <c r="H523" s="108">
        <f t="shared" si="36"/>
        <v>446633.96</v>
      </c>
      <c r="I523" s="108">
        <f t="shared" si="36"/>
        <v>6604.45</v>
      </c>
      <c r="J523" s="108">
        <f t="shared" si="36"/>
        <v>0</v>
      </c>
      <c r="K523" s="108">
        <f t="shared" si="36"/>
        <v>0</v>
      </c>
      <c r="L523" s="89">
        <f t="shared" si="36"/>
        <v>786703.15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4943.3+11395+38610.77+1425+16970.21+2716.25</f>
        <v>76060.53</v>
      </c>
      <c r="I525" s="18">
        <v>157.15</v>
      </c>
      <c r="J525" s="18"/>
      <c r="K525" s="18"/>
      <c r="L525" s="88">
        <f>SUM(F525:K525)</f>
        <v>76217.679999999993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76060.53</v>
      </c>
      <c r="I528" s="89">
        <f t="shared" si="37"/>
        <v>157.15</v>
      </c>
      <c r="J528" s="89">
        <f t="shared" si="37"/>
        <v>0</v>
      </c>
      <c r="K528" s="89">
        <f t="shared" si="37"/>
        <v>0</v>
      </c>
      <c r="L528" s="89">
        <f t="shared" si="37"/>
        <v>76217.679999999993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20542</v>
      </c>
      <c r="I530" s="18">
        <v>300</v>
      </c>
      <c r="J530" s="18"/>
      <c r="K530" s="18">
        <v>2577.85</v>
      </c>
      <c r="L530" s="88">
        <f>SUM(F530:K530)</f>
        <v>23419.85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20542</v>
      </c>
      <c r="I533" s="89">
        <f t="shared" si="38"/>
        <v>300</v>
      </c>
      <c r="J533" s="89">
        <f t="shared" si="38"/>
        <v>0</v>
      </c>
      <c r="K533" s="89">
        <f t="shared" si="38"/>
        <v>2577.85</v>
      </c>
      <c r="L533" s="89">
        <f t="shared" si="38"/>
        <v>23419.85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0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249376.83</v>
      </c>
      <c r="G544" s="89">
        <f t="shared" ref="G544:L544" si="41">G523+G528+G533+G538+G543</f>
        <v>84087.91</v>
      </c>
      <c r="H544" s="89">
        <f t="shared" si="41"/>
        <v>543236.49</v>
      </c>
      <c r="I544" s="89">
        <f t="shared" si="41"/>
        <v>7061.5999999999995</v>
      </c>
      <c r="J544" s="89">
        <f t="shared" si="41"/>
        <v>0</v>
      </c>
      <c r="K544" s="89">
        <f t="shared" si="41"/>
        <v>2577.85</v>
      </c>
      <c r="L544" s="89">
        <f t="shared" si="41"/>
        <v>886340.68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378304.26</v>
      </c>
      <c r="G548" s="87">
        <f>L525</f>
        <v>76217.679999999993</v>
      </c>
      <c r="H548" s="87">
        <f>L530</f>
        <v>23419.85</v>
      </c>
      <c r="I548" s="87">
        <f>L535</f>
        <v>0</v>
      </c>
      <c r="J548" s="87">
        <f>L540</f>
        <v>0</v>
      </c>
      <c r="K548" s="87">
        <f>SUM(F548:J548)</f>
        <v>477941.79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408398.89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408398.89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786703.15</v>
      </c>
      <c r="G551" s="89">
        <f t="shared" si="42"/>
        <v>76217.679999999993</v>
      </c>
      <c r="H551" s="89">
        <f t="shared" si="42"/>
        <v>23419.85</v>
      </c>
      <c r="I551" s="89">
        <f t="shared" si="42"/>
        <v>0</v>
      </c>
      <c r="J551" s="89">
        <f t="shared" si="42"/>
        <v>0</v>
      </c>
      <c r="K551" s="89">
        <f t="shared" si="42"/>
        <v>886340.67999999993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792387.97</v>
      </c>
      <c r="I574" s="87">
        <f>SUM(F574:H574)</f>
        <v>792387.97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9637.05+3360</f>
        <v>12997.05</v>
      </c>
      <c r="G578" s="18"/>
      <c r="H578" s="18">
        <v>318443.44</v>
      </c>
      <c r="I578" s="87">
        <f t="shared" si="47"/>
        <v>331440.49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28598.02</v>
      </c>
      <c r="G581" s="18"/>
      <c r="H581" s="18">
        <v>89955.45</v>
      </c>
      <c r="I581" s="87">
        <f t="shared" si="47"/>
        <v>118553.47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98879.59</v>
      </c>
      <c r="I590" s="18"/>
      <c r="J590" s="18">
        <v>29047.65</v>
      </c>
      <c r="K590" s="104">
        <f t="shared" ref="K590:K596" si="48">SUM(H590:J590)</f>
        <v>127927.23999999999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7565.8</v>
      </c>
      <c r="I593" s="18"/>
      <c r="J593" s="18"/>
      <c r="K593" s="104">
        <f t="shared" si="48"/>
        <v>7565.8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3545.13</v>
      </c>
      <c r="I594" s="18"/>
      <c r="J594" s="18"/>
      <c r="K594" s="104">
        <f t="shared" si="48"/>
        <v>3545.13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109990.52</v>
      </c>
      <c r="I597" s="108">
        <f>SUM(I590:I596)</f>
        <v>0</v>
      </c>
      <c r="J597" s="108">
        <f>SUM(J590:J596)</f>
        <v>29047.65</v>
      </c>
      <c r="K597" s="108">
        <f>SUM(K590:K596)</f>
        <v>139038.16999999998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41263.599999999999</v>
      </c>
      <c r="I603" s="18"/>
      <c r="J603" s="18"/>
      <c r="K603" s="104">
        <f>SUM(H603:J603)</f>
        <v>41263.599999999999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41263.599999999999</v>
      </c>
      <c r="I604" s="108">
        <f>SUM(I601:I603)</f>
        <v>0</v>
      </c>
      <c r="J604" s="108">
        <f>SUM(J601:J603)</f>
        <v>0</v>
      </c>
      <c r="K604" s="108">
        <f>SUM(K601:K603)</f>
        <v>41263.599999999999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2290+1580+276.12</f>
        <v>4146.12</v>
      </c>
      <c r="G610" s="18">
        <f>175.19+8.02+87.72+178.55+6.49</f>
        <v>455.97</v>
      </c>
      <c r="H610" s="18"/>
      <c r="I610" s="18"/>
      <c r="J610" s="18"/>
      <c r="K610" s="18"/>
      <c r="L610" s="88">
        <f>SUM(F610:K610)</f>
        <v>4602.09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4146.12</v>
      </c>
      <c r="G613" s="108">
        <f t="shared" si="49"/>
        <v>455.97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4602.09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121584.35999999999</v>
      </c>
      <c r="H616" s="109">
        <f>SUM(F51)</f>
        <v>121584.36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10417.459999999999</v>
      </c>
      <c r="H617" s="109">
        <f>SUM(G51)</f>
        <v>10417.460000000001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31307.64</v>
      </c>
      <c r="H618" s="109">
        <f>SUM(H51)</f>
        <v>31307.64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559166.94999999995</v>
      </c>
      <c r="H620" s="109">
        <f>SUM(J51)</f>
        <v>559166.94999999995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85935.66</v>
      </c>
      <c r="H621" s="109">
        <f>F475</f>
        <v>85935.660000000149</v>
      </c>
      <c r="I621" s="121" t="s">
        <v>101</v>
      </c>
      <c r="J621" s="109">
        <f t="shared" ref="J621:J654" si="50">G621-H621</f>
        <v>-1.4551915228366852E-10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559166.94999999995</v>
      </c>
      <c r="H625" s="109">
        <f>J475</f>
        <v>559166.94999999995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4780845</v>
      </c>
      <c r="H626" s="104">
        <f>SUM(F467)</f>
        <v>4780845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99230.03</v>
      </c>
      <c r="H627" s="104">
        <f>SUM(G467)</f>
        <v>99230.03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105202.57999999999</v>
      </c>
      <c r="H628" s="104">
        <f>SUM(H467)</f>
        <v>105202.58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200055.03</v>
      </c>
      <c r="H630" s="104">
        <f>SUM(J467)</f>
        <v>200055.03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5236999.3899999997</v>
      </c>
      <c r="H631" s="104">
        <f>SUM(F471)</f>
        <v>5236999.3899999997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105202.58</v>
      </c>
      <c r="H632" s="104">
        <f>SUM(H471)</f>
        <v>105202.58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27621.48</v>
      </c>
      <c r="H633" s="104">
        <f>I368</f>
        <v>27621.48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99230.03</v>
      </c>
      <c r="H634" s="104">
        <f>SUM(G471)</f>
        <v>99230.03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95251.19</v>
      </c>
      <c r="H635" s="104">
        <f>SUM(I471)</f>
        <v>95251.19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200055.03</v>
      </c>
      <c r="H636" s="164">
        <f>SUM(J467)</f>
        <v>200055.03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335978.08</v>
      </c>
      <c r="H638" s="104">
        <f>SUM(F460)</f>
        <v>335978.08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223188.87</v>
      </c>
      <c r="H639" s="104">
        <f>SUM(G460)</f>
        <v>223188.87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559166.94999999995</v>
      </c>
      <c r="H641" s="104">
        <f>SUM(I460)</f>
        <v>559166.94999999995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55.03</v>
      </c>
      <c r="H643" s="104">
        <f>H407</f>
        <v>55.03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200000</v>
      </c>
      <c r="H644" s="104">
        <f>G407</f>
        <v>200000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200055.03</v>
      </c>
      <c r="H645" s="104">
        <f>L407</f>
        <v>200055.03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139038.16999999998</v>
      </c>
      <c r="H646" s="104">
        <f>L207+L225+L243</f>
        <v>139038.17000000001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41263.599999999999</v>
      </c>
      <c r="H647" s="104">
        <f>(J256+J337)-(J254+J335)</f>
        <v>41263.599999999999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109990.52</v>
      </c>
      <c r="H648" s="104">
        <f>H597</f>
        <v>109990.52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29047.65</v>
      </c>
      <c r="H650" s="104">
        <f>J597</f>
        <v>29047.65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27133.14</v>
      </c>
      <c r="H651" s="104">
        <f>K262+K344</f>
        <v>27133.14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200000</v>
      </c>
      <c r="H654" s="104">
        <f>K265+K346</f>
        <v>200000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3160244.35</v>
      </c>
      <c r="G659" s="19">
        <f>(L228+L308+L358)</f>
        <v>0</v>
      </c>
      <c r="H659" s="19">
        <f>(L246+L327+L359)</f>
        <v>1229834.5099999998</v>
      </c>
      <c r="I659" s="19">
        <f>SUM(F659:H659)</f>
        <v>4390078.8599999994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27832.74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27832.74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109990.52</v>
      </c>
      <c r="G661" s="19">
        <f>(L225+L305)-(J225+J305)</f>
        <v>0</v>
      </c>
      <c r="H661" s="19">
        <f>(L243+L324)-(J243+J324)</f>
        <v>29047.65</v>
      </c>
      <c r="I661" s="19">
        <f>SUM(F661:H661)</f>
        <v>139038.17000000001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87460.76</v>
      </c>
      <c r="G662" s="199">
        <f>SUM(G574:G586)+SUM(I601:I603)+L611</f>
        <v>0</v>
      </c>
      <c r="H662" s="199">
        <f>SUM(H574:H586)+SUM(J601:J603)+L612</f>
        <v>1200786.8599999999</v>
      </c>
      <c r="I662" s="19">
        <f>SUM(F662:H662)</f>
        <v>1288247.6199999999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2934960.33</v>
      </c>
      <c r="G663" s="19">
        <f>G659-SUM(G660:G662)</f>
        <v>0</v>
      </c>
      <c r="H663" s="19">
        <f>H659-SUM(H660:H662)</f>
        <v>0</v>
      </c>
      <c r="I663" s="19">
        <f>I659-SUM(I660:I662)</f>
        <v>2934960.3299999996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182.38</v>
      </c>
      <c r="G664" s="248"/>
      <c r="H664" s="248"/>
      <c r="I664" s="19">
        <f>SUM(F664:H664)</f>
        <v>182.38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16092.56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16092.56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16092.56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16092.56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Marlborough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956261.65</v>
      </c>
      <c r="C9" s="229">
        <f>'DOE25'!G196+'DOE25'!G214+'DOE25'!G232+'DOE25'!G275+'DOE25'!G294+'DOE25'!G313</f>
        <v>390519.85000000003</v>
      </c>
    </row>
    <row r="10" spans="1:3" x14ac:dyDescent="0.2">
      <c r="A10" t="s">
        <v>779</v>
      </c>
      <c r="B10" s="240">
        <v>924307.61</v>
      </c>
      <c r="C10" s="240">
        <v>377470.4</v>
      </c>
    </row>
    <row r="11" spans="1:3" x14ac:dyDescent="0.2">
      <c r="A11" t="s">
        <v>780</v>
      </c>
      <c r="B11" s="240">
        <v>31954.04</v>
      </c>
      <c r="C11" s="240">
        <v>13049.45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956261.65</v>
      </c>
      <c r="C13" s="231">
        <f>SUM(C10:C12)</f>
        <v>390519.85000000003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265984.37</v>
      </c>
      <c r="C18" s="229">
        <f>'DOE25'!G197+'DOE25'!G215+'DOE25'!G233+'DOE25'!G276+'DOE25'!G295+'DOE25'!G314</f>
        <v>85370.49</v>
      </c>
    </row>
    <row r="19" spans="1:3" x14ac:dyDescent="0.2">
      <c r="A19" t="s">
        <v>779</v>
      </c>
      <c r="B19" s="240">
        <v>144125.6</v>
      </c>
      <c r="C19" s="240">
        <v>46283.51</v>
      </c>
    </row>
    <row r="20" spans="1:3" x14ac:dyDescent="0.2">
      <c r="A20" t="s">
        <v>780</v>
      </c>
      <c r="B20" s="240">
        <v>121858.77</v>
      </c>
      <c r="C20" s="240">
        <v>39132.89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Error</v>
      </c>
      <c r="B22" s="231">
        <f>SUM(B19:B21)</f>
        <v>265984.37</v>
      </c>
      <c r="C22" s="231">
        <f>SUM(C19:C21)</f>
        <v>85416.4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15946.11</v>
      </c>
      <c r="C36" s="235">
        <f>'DOE25'!G199+'DOE25'!G217+'DOE25'!G235+'DOE25'!G278+'DOE25'!G297+'DOE25'!G316</f>
        <v>1823.93</v>
      </c>
    </row>
    <row r="37" spans="1:3" x14ac:dyDescent="0.2">
      <c r="A37" t="s">
        <v>779</v>
      </c>
      <c r="B37" s="240">
        <v>15669.99</v>
      </c>
      <c r="C37" s="240">
        <v>1792.35</v>
      </c>
    </row>
    <row r="38" spans="1:3" x14ac:dyDescent="0.2">
      <c r="A38" t="s">
        <v>780</v>
      </c>
      <c r="B38" s="240">
        <v>276.12</v>
      </c>
      <c r="C38" s="240">
        <v>31.58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15946.11</v>
      </c>
      <c r="C40" s="231">
        <f>SUM(C37:C39)</f>
        <v>1823.9299999999998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Marlborough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2980488.45</v>
      </c>
      <c r="D5" s="20">
        <f>SUM('DOE25'!L196:L199)+SUM('DOE25'!L214:L217)+SUM('DOE25'!L232:L235)-F5-G5</f>
        <v>2968379.74</v>
      </c>
      <c r="E5" s="243"/>
      <c r="F5" s="255">
        <f>SUM('DOE25'!J196:J199)+SUM('DOE25'!J214:J217)+SUM('DOE25'!J232:J235)</f>
        <v>1472.43</v>
      </c>
      <c r="G5" s="53">
        <f>SUM('DOE25'!K196:K199)+SUM('DOE25'!K214:K217)+SUM('DOE25'!K232:K235)</f>
        <v>10636.28</v>
      </c>
      <c r="H5" s="259"/>
    </row>
    <row r="6" spans="1:9" x14ac:dyDescent="0.2">
      <c r="A6" s="32">
        <v>2100</v>
      </c>
      <c r="B6" t="s">
        <v>801</v>
      </c>
      <c r="C6" s="245">
        <f t="shared" si="0"/>
        <v>227854.15</v>
      </c>
      <c r="D6" s="20">
        <f>'DOE25'!L201+'DOE25'!L219+'DOE25'!L237-F6-G6</f>
        <v>227539.15</v>
      </c>
      <c r="E6" s="243"/>
      <c r="F6" s="255">
        <f>'DOE25'!J201+'DOE25'!J219+'DOE25'!J237</f>
        <v>160</v>
      </c>
      <c r="G6" s="53">
        <f>'DOE25'!K201+'DOE25'!K219+'DOE25'!K237</f>
        <v>155</v>
      </c>
      <c r="H6" s="259"/>
    </row>
    <row r="7" spans="1:9" x14ac:dyDescent="0.2">
      <c r="A7" s="32">
        <v>2200</v>
      </c>
      <c r="B7" t="s">
        <v>834</v>
      </c>
      <c r="C7" s="245">
        <f t="shared" si="0"/>
        <v>92868.33</v>
      </c>
      <c r="D7" s="20">
        <f>'DOE25'!L202+'DOE25'!L220+'DOE25'!L238-F7-G7</f>
        <v>92097.24</v>
      </c>
      <c r="E7" s="243"/>
      <c r="F7" s="255">
        <f>'DOE25'!J202+'DOE25'!J220+'DOE25'!J238</f>
        <v>771.09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143093</v>
      </c>
      <c r="D8" s="243"/>
      <c r="E8" s="20">
        <f>'DOE25'!L203+'DOE25'!L221+'DOE25'!L239-F8-G8-D9-D11</f>
        <v>140531.4</v>
      </c>
      <c r="F8" s="255">
        <f>'DOE25'!J203+'DOE25'!J221+'DOE25'!J239</f>
        <v>0</v>
      </c>
      <c r="G8" s="53">
        <f>'DOE25'!K203+'DOE25'!K221+'DOE25'!K239</f>
        <v>2561.6</v>
      </c>
      <c r="H8" s="259"/>
    </row>
    <row r="9" spans="1:9" x14ac:dyDescent="0.2">
      <c r="A9" s="32">
        <v>2310</v>
      </c>
      <c r="B9" t="s">
        <v>818</v>
      </c>
      <c r="C9" s="245">
        <f t="shared" si="0"/>
        <v>20270.13</v>
      </c>
      <c r="D9" s="244">
        <f>11030.87+291.8+2592+6155.46+200</f>
        <v>20270.13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6155.46</v>
      </c>
      <c r="D10" s="243"/>
      <c r="E10" s="244">
        <v>6155.46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57791</v>
      </c>
      <c r="D11" s="244">
        <v>57791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214689.91</v>
      </c>
      <c r="D12" s="20">
        <f>'DOE25'!L204+'DOE25'!L222+'DOE25'!L240-F12-G12</f>
        <v>214689.91</v>
      </c>
      <c r="E12" s="243"/>
      <c r="F12" s="255">
        <f>'DOE25'!J204+'DOE25'!J222+'DOE25'!J240</f>
        <v>0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266311.34000000003</v>
      </c>
      <c r="D14" s="20">
        <f>'DOE25'!L206+'DOE25'!L224+'DOE25'!L242-F14-G14</f>
        <v>264535.66000000003</v>
      </c>
      <c r="E14" s="243"/>
      <c r="F14" s="255">
        <f>'DOE25'!J206+'DOE25'!J224+'DOE25'!J242</f>
        <v>1775.68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139038.17000000001</v>
      </c>
      <c r="D15" s="20">
        <f>'DOE25'!L207+'DOE25'!L225+'DOE25'!L243-F15-G15</f>
        <v>139038.17000000001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43241.770000000004</v>
      </c>
      <c r="D16" s="243"/>
      <c r="E16" s="20">
        <f>'DOE25'!L208+'DOE25'!L226+'DOE25'!L244-F16-G16</f>
        <v>12689.270000000004</v>
      </c>
      <c r="F16" s="255">
        <f>'DOE25'!J208+'DOE25'!J226+'DOE25'!J244</f>
        <v>30552.5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6920</v>
      </c>
      <c r="D19" s="20">
        <f>'DOE25'!L252-F19-G19</f>
        <v>0</v>
      </c>
      <c r="E19" s="243"/>
      <c r="F19" s="255">
        <f>'DOE25'!J252</f>
        <v>0</v>
      </c>
      <c r="G19" s="53">
        <f>'DOE25'!K252</f>
        <v>6920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817300</v>
      </c>
      <c r="D25" s="243"/>
      <c r="E25" s="243"/>
      <c r="F25" s="258"/>
      <c r="G25" s="256"/>
      <c r="H25" s="257">
        <f>'DOE25'!L259+'DOE25'!L260+'DOE25'!L340+'DOE25'!L341</f>
        <v>817300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73817.489999999991</v>
      </c>
      <c r="D29" s="20">
        <f>'DOE25'!L357+'DOE25'!L358+'DOE25'!L359-'DOE25'!I366-F29-G29</f>
        <v>71966.26999999999</v>
      </c>
      <c r="E29" s="243"/>
      <c r="F29" s="255">
        <f>'DOE25'!J357+'DOE25'!J358+'DOE25'!J359</f>
        <v>543.74</v>
      </c>
      <c r="G29" s="53">
        <f>'DOE25'!K357+'DOE25'!K358+'DOE25'!K359</f>
        <v>1307.48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105202.58</v>
      </c>
      <c r="D31" s="20">
        <f>'DOE25'!L289+'DOE25'!L308+'DOE25'!L327+'DOE25'!L332+'DOE25'!L333+'DOE25'!L334-F31-G31</f>
        <v>93467.890000000014</v>
      </c>
      <c r="E31" s="243"/>
      <c r="F31" s="255">
        <f>'DOE25'!J289+'DOE25'!J308+'DOE25'!J327+'DOE25'!J332+'DOE25'!J333+'DOE25'!J334</f>
        <v>6531.9</v>
      </c>
      <c r="G31" s="53">
        <f>'DOE25'!K289+'DOE25'!K308+'DOE25'!K327+'DOE25'!K332+'DOE25'!K333+'DOE25'!K334</f>
        <v>5202.79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4149775.1600000006</v>
      </c>
      <c r="E33" s="246">
        <f>SUM(E5:E31)</f>
        <v>159376.13</v>
      </c>
      <c r="F33" s="246">
        <f>SUM(F5:F31)</f>
        <v>41807.339999999997</v>
      </c>
      <c r="G33" s="246">
        <f>SUM(G5:G31)</f>
        <v>26783.15</v>
      </c>
      <c r="H33" s="246">
        <f>SUM(H5:H31)</f>
        <v>817300</v>
      </c>
    </row>
    <row r="35" spans="2:8" ht="12" thickBot="1" x14ac:dyDescent="0.25">
      <c r="B35" s="253" t="s">
        <v>847</v>
      </c>
      <c r="D35" s="254">
        <f>E33</f>
        <v>159376.13</v>
      </c>
      <c r="E35" s="249"/>
    </row>
    <row r="36" spans="2:8" ht="12" thickTop="1" x14ac:dyDescent="0.2">
      <c r="B36" t="s">
        <v>815</v>
      </c>
      <c r="D36" s="20">
        <f>D33</f>
        <v>4149775.1600000006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Marlborough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84964.409999999989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455.54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559166.94999999995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35848.28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316.13</v>
      </c>
      <c r="D12" s="95">
        <f>'DOE25'!G13</f>
        <v>9841.14</v>
      </c>
      <c r="E12" s="95">
        <f>'DOE25'!H13</f>
        <v>31307.64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576.32000000000005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121584.35999999999</v>
      </c>
      <c r="D18" s="41">
        <f>SUM(D8:D17)</f>
        <v>10417.459999999999</v>
      </c>
      <c r="E18" s="41">
        <f>SUM(E8:E17)</f>
        <v>31307.64</v>
      </c>
      <c r="F18" s="41">
        <f>SUM(F8:F17)</f>
        <v>0</v>
      </c>
      <c r="G18" s="41">
        <f>SUM(G8:G17)</f>
        <v>559166.94999999995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7007.6</v>
      </c>
      <c r="E21" s="95">
        <f>'DOE25'!H22</f>
        <v>28840.68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921.05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18120.12</v>
      </c>
      <c r="D23" s="95">
        <f>'DOE25'!G24</f>
        <v>543.74</v>
      </c>
      <c r="E23" s="95">
        <f>'DOE25'!H24</f>
        <v>27.53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16607.53</v>
      </c>
      <c r="D27" s="95">
        <f>'DOE25'!G28</f>
        <v>1930.04</v>
      </c>
      <c r="E27" s="95">
        <f>'DOE25'!H28</f>
        <v>2439.4299999999998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936.08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35648.699999999997</v>
      </c>
      <c r="D31" s="41">
        <f>SUM(D21:D30)</f>
        <v>10417.460000000001</v>
      </c>
      <c r="E31" s="41">
        <f>SUM(E21:E30)</f>
        <v>31307.64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559166.94999999995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85935.66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85935.66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559166.94999999995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121584.36</v>
      </c>
      <c r="D50" s="41">
        <f>D49+D31</f>
        <v>10417.460000000001</v>
      </c>
      <c r="E50" s="41">
        <f>E49+E31</f>
        <v>31307.64</v>
      </c>
      <c r="F50" s="41">
        <f>F49+F31</f>
        <v>0</v>
      </c>
      <c r="G50" s="41">
        <f>G49+G31</f>
        <v>559166.94999999995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2463923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12566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164.57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55.03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27832.74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17908.48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30639.05</v>
      </c>
      <c r="D61" s="130">
        <f>SUM(D56:D60)</f>
        <v>27832.74</v>
      </c>
      <c r="E61" s="130">
        <f>SUM(E56:E60)</f>
        <v>0</v>
      </c>
      <c r="F61" s="130">
        <f>SUM(F56:F60)</f>
        <v>0</v>
      </c>
      <c r="G61" s="130">
        <f>SUM(G56:G60)</f>
        <v>55.03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2494562.0499999998</v>
      </c>
      <c r="D62" s="22">
        <f>D55+D61</f>
        <v>27832.74</v>
      </c>
      <c r="E62" s="22">
        <f>E55+E61</f>
        <v>0</v>
      </c>
      <c r="F62" s="22">
        <f>F55+F61</f>
        <v>0</v>
      </c>
      <c r="G62" s="22">
        <f>G55+G61</f>
        <v>55.03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1182556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447480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1630036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317648.65999999997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175392.38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1006.01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493041.04</v>
      </c>
      <c r="D77" s="130">
        <f>SUM(D71:D76)</f>
        <v>1006.01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2123077.04</v>
      </c>
      <c r="D80" s="130">
        <f>SUM(D78:D79)+D77+D69</f>
        <v>1006.01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8081.9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19453.38</v>
      </c>
      <c r="D87" s="95">
        <f>SUM('DOE25'!G152:G160)</f>
        <v>43258.14</v>
      </c>
      <c r="E87" s="95">
        <f>SUM('DOE25'!H152:H160)</f>
        <v>97120.68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19453.38</v>
      </c>
      <c r="D90" s="131">
        <f>SUM(D84:D89)</f>
        <v>43258.14</v>
      </c>
      <c r="E90" s="131">
        <f>SUM(E84:E89)</f>
        <v>105202.57999999999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27133.14</v>
      </c>
      <c r="E95" s="95">
        <f>'DOE25'!H178</f>
        <v>0</v>
      </c>
      <c r="F95" s="95">
        <f>'DOE25'!I178</f>
        <v>0</v>
      </c>
      <c r="G95" s="95">
        <f>'DOE25'!J178</f>
        <v>200000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93743.9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50008.63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143752.53</v>
      </c>
      <c r="D102" s="86">
        <f>SUM(D92:D101)</f>
        <v>27133.14</v>
      </c>
      <c r="E102" s="86">
        <f>SUM(E92:E101)</f>
        <v>0</v>
      </c>
      <c r="F102" s="86">
        <f>SUM(F92:F101)</f>
        <v>0</v>
      </c>
      <c r="G102" s="86">
        <f>SUM(G92:G101)</f>
        <v>200000</v>
      </c>
    </row>
    <row r="103" spans="1:7" ht="12.75" thickTop="1" thickBot="1" x14ac:dyDescent="0.25">
      <c r="A103" s="33" t="s">
        <v>765</v>
      </c>
      <c r="C103" s="86">
        <f>C62+C80+C90+C102</f>
        <v>4780845</v>
      </c>
      <c r="D103" s="86">
        <f>D62+D80+D90+D102</f>
        <v>99230.03</v>
      </c>
      <c r="E103" s="86">
        <f>E62+E80+E90+E102</f>
        <v>105202.57999999999</v>
      </c>
      <c r="F103" s="86">
        <f>F62+F80+F90+F102</f>
        <v>0</v>
      </c>
      <c r="G103" s="86">
        <f>G62+G80+G102</f>
        <v>200055.03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2157674.5200000005</v>
      </c>
      <c r="D108" s="24" t="s">
        <v>289</v>
      </c>
      <c r="E108" s="95">
        <f>('DOE25'!L275)+('DOE25'!L294)+('DOE25'!L313)</f>
        <v>42709.030000000006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787273.78</v>
      </c>
      <c r="D109" s="24" t="s">
        <v>289</v>
      </c>
      <c r="E109" s="95">
        <f>('DOE25'!L276)+('DOE25'!L295)+('DOE25'!L314)</f>
        <v>22460.400000000001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35540.15</v>
      </c>
      <c r="D111" s="24" t="s">
        <v>289</v>
      </c>
      <c r="E111" s="95">
        <f>+('DOE25'!L278)+('DOE25'!L297)+('DOE25'!L316)</f>
        <v>2128.88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6920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2987408.4500000007</v>
      </c>
      <c r="D114" s="86">
        <f>SUM(D108:D113)</f>
        <v>0</v>
      </c>
      <c r="E114" s="86">
        <f>SUM(E108:E113)</f>
        <v>67298.310000000012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227854.15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92868.33</v>
      </c>
      <c r="D118" s="24" t="s">
        <v>289</v>
      </c>
      <c r="E118" s="95">
        <f>+('DOE25'!L281)+('DOE25'!L300)+('DOE25'!L319)</f>
        <v>29276.48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221154.13</v>
      </c>
      <c r="D119" s="24" t="s">
        <v>289</v>
      </c>
      <c r="E119" s="95">
        <f>+('DOE25'!L282)+('DOE25'!L301)+('DOE25'!L320)</f>
        <v>3125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214689.91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5202.79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266311.34000000003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139038.17000000001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43241.770000000004</v>
      </c>
      <c r="D124" s="24" t="s">
        <v>289</v>
      </c>
      <c r="E124" s="95">
        <f>+('DOE25'!L287)+('DOE25'!L306)+('DOE25'!L325)</f>
        <v>300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99230.03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1205157.8</v>
      </c>
      <c r="D127" s="86">
        <f>SUM(D117:D126)</f>
        <v>99230.03</v>
      </c>
      <c r="E127" s="86">
        <f>SUM(E117:E126)</f>
        <v>37904.269999999997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24965.95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676295.29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141004.71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70285.240000000005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27133.14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100034.92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100020.11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-55.029999999998836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1044433.14</v>
      </c>
      <c r="D143" s="141">
        <f>SUM(D129:D142)</f>
        <v>0</v>
      </c>
      <c r="E143" s="141">
        <f>SUM(E129:E142)</f>
        <v>0</v>
      </c>
      <c r="F143" s="141">
        <f>SUM(F129:F142)</f>
        <v>95251.19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5236999.3900000006</v>
      </c>
      <c r="D144" s="86">
        <f>(D114+D127+D143)</f>
        <v>99230.03</v>
      </c>
      <c r="E144" s="86">
        <f>(E114+E127+E143)</f>
        <v>105202.58000000002</v>
      </c>
      <c r="F144" s="86">
        <f>(F114+F127+F143)</f>
        <v>95251.19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07/08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08/28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10960000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4.33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8248790.5199999996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8248790.5199999996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676295.29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676295.29</v>
      </c>
    </row>
    <row r="158" spans="1:9" x14ac:dyDescent="0.2">
      <c r="A158" s="22" t="s">
        <v>35</v>
      </c>
      <c r="B158" s="137">
        <f>'DOE25'!F497</f>
        <v>7572495.2300000004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7572495.2300000004</v>
      </c>
    </row>
    <row r="159" spans="1:9" x14ac:dyDescent="0.2">
      <c r="A159" s="22" t="s">
        <v>36</v>
      </c>
      <c r="B159" s="137">
        <f>'DOE25'!F498</f>
        <v>5522054.7700000005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5522054.7700000005</v>
      </c>
    </row>
    <row r="160" spans="1:9" x14ac:dyDescent="0.2">
      <c r="A160" s="22" t="s">
        <v>37</v>
      </c>
      <c r="B160" s="137">
        <f>'DOE25'!F499</f>
        <v>13094550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13094550</v>
      </c>
    </row>
    <row r="161" spans="1:7" x14ac:dyDescent="0.2">
      <c r="A161" s="22" t="s">
        <v>38</v>
      </c>
      <c r="B161" s="137">
        <f>'DOE25'!F500</f>
        <v>646930.69999999995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646930.69999999995</v>
      </c>
    </row>
    <row r="162" spans="1:7" x14ac:dyDescent="0.2">
      <c r="A162" s="22" t="s">
        <v>39</v>
      </c>
      <c r="B162" s="137">
        <f>'DOE25'!F501</f>
        <v>170625.55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170625.55</v>
      </c>
    </row>
    <row r="163" spans="1:7" x14ac:dyDescent="0.2">
      <c r="A163" s="22" t="s">
        <v>246</v>
      </c>
      <c r="B163" s="137">
        <f>'DOE25'!F502</f>
        <v>817556.25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817556.25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Marlborough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16093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16093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2200384</v>
      </c>
      <c r="D10" s="182">
        <f>ROUND((C10/$C$28)*100,1)</f>
        <v>48.8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809734</v>
      </c>
      <c r="D11" s="182">
        <f>ROUND((C11/$C$28)*100,1)</f>
        <v>18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37669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227854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122145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267821</v>
      </c>
      <c r="D17" s="182">
        <f t="shared" si="0"/>
        <v>5.9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214690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5203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266311</v>
      </c>
      <c r="D20" s="182">
        <f t="shared" si="0"/>
        <v>5.9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139038</v>
      </c>
      <c r="D21" s="182">
        <f t="shared" si="0"/>
        <v>3.1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6920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ROUND('DOE25'!L260+'DOE25'!L341,0)</f>
        <v>141005</v>
      </c>
      <c r="D25" s="182">
        <f t="shared" si="0"/>
        <v>3.1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71397.259999999995</v>
      </c>
      <c r="D27" s="182">
        <f t="shared" si="0"/>
        <v>1.6</v>
      </c>
    </row>
    <row r="28" spans="1:4" x14ac:dyDescent="0.2">
      <c r="B28" s="187" t="s">
        <v>723</v>
      </c>
      <c r="C28" s="180">
        <f>SUM(C10:C27)</f>
        <v>4510171.26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24966</v>
      </c>
    </row>
    <row r="30" spans="1:4" x14ac:dyDescent="0.2">
      <c r="B30" s="187" t="s">
        <v>729</v>
      </c>
      <c r="C30" s="180">
        <f>SUM(C28:C29)</f>
        <v>4535137.26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676295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2463923</v>
      </c>
      <c r="D35" s="182">
        <f t="shared" ref="D35:D40" si="1">ROUND((C35/$C$41)*100,1)</f>
        <v>50.9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30694.079999999609</v>
      </c>
      <c r="D36" s="182">
        <f t="shared" si="1"/>
        <v>0.6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1630036</v>
      </c>
      <c r="D37" s="182">
        <f t="shared" si="1"/>
        <v>33.700000000000003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494047</v>
      </c>
      <c r="D38" s="182">
        <f t="shared" si="1"/>
        <v>10.199999999999999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167914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50009</v>
      </c>
      <c r="D40" s="182">
        <f t="shared" si="1"/>
        <v>1</v>
      </c>
    </row>
    <row r="41" spans="1:4" x14ac:dyDescent="0.2">
      <c r="B41" s="187" t="s">
        <v>736</v>
      </c>
      <c r="C41" s="180">
        <f>SUM(C35:C40)</f>
        <v>4836623.08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Marlborough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2013-06-14T12:22:24Z</cp:lastPrinted>
  <dcterms:created xsi:type="dcterms:W3CDTF">1997-12-04T19:04:30Z</dcterms:created>
  <dcterms:modified xsi:type="dcterms:W3CDTF">2013-11-06T17:17:51Z</dcterms:modified>
</cp:coreProperties>
</file>