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BB0A" lockStructure="1"/>
  <bookViews>
    <workbookView xWindow="900" yWindow="-30" windowWidth="12735" windowHeight="65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J467" i="1" l="1"/>
  <c r="G458" i="1"/>
  <c r="G439" i="1"/>
  <c r="J95" i="1"/>
  <c r="J178" i="1" l="1"/>
  <c r="G610" i="1"/>
  <c r="F578" i="1"/>
  <c r="H540" i="1" l="1"/>
  <c r="H525" i="1"/>
  <c r="H520" i="1"/>
  <c r="I520" i="1"/>
  <c r="G520" i="1"/>
  <c r="F520" i="1"/>
  <c r="H281" i="1"/>
  <c r="G281" i="1"/>
  <c r="I280" i="1"/>
  <c r="J275" i="1"/>
  <c r="I275" i="1"/>
  <c r="G275" i="1"/>
  <c r="K265" i="1"/>
  <c r="I201" i="1"/>
  <c r="H207" i="1"/>
  <c r="H203" i="1"/>
  <c r="H202" i="1"/>
  <c r="H201" i="1"/>
  <c r="G203" i="1"/>
  <c r="F203" i="1"/>
  <c r="F109" i="1"/>
  <c r="F9" i="1"/>
  <c r="C37" i="10" l="1"/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C124" i="2" s="1"/>
  <c r="L226" i="1"/>
  <c r="L244" i="1"/>
  <c r="F5" i="13"/>
  <c r="G5" i="13"/>
  <c r="L196" i="1"/>
  <c r="L197" i="1"/>
  <c r="L198" i="1"/>
  <c r="L199" i="1"/>
  <c r="L214" i="1"/>
  <c r="L215" i="1"/>
  <c r="L228" i="1" s="1"/>
  <c r="L216" i="1"/>
  <c r="L217" i="1"/>
  <c r="L232" i="1"/>
  <c r="L233" i="1"/>
  <c r="L234" i="1"/>
  <c r="L235" i="1"/>
  <c r="F6" i="13"/>
  <c r="G6" i="13"/>
  <c r="L201" i="1"/>
  <c r="C117" i="2" s="1"/>
  <c r="L219" i="1"/>
  <c r="L237" i="1"/>
  <c r="F7" i="13"/>
  <c r="G7" i="13"/>
  <c r="L202" i="1"/>
  <c r="L220" i="1"/>
  <c r="L238" i="1"/>
  <c r="F12" i="13"/>
  <c r="G12" i="13"/>
  <c r="L204" i="1"/>
  <c r="C18" i="10" s="1"/>
  <c r="L222" i="1"/>
  <c r="L240" i="1"/>
  <c r="F14" i="13"/>
  <c r="G14" i="13"/>
  <c r="L206" i="1"/>
  <c r="D14" i="13" s="1"/>
  <c r="C14" i="13" s="1"/>
  <c r="L224" i="1"/>
  <c r="L242" i="1"/>
  <c r="F15" i="13"/>
  <c r="G15" i="13"/>
  <c r="L207" i="1"/>
  <c r="G648" i="1" s="1"/>
  <c r="L225" i="1"/>
  <c r="L243" i="1"/>
  <c r="H661" i="1" s="1"/>
  <c r="F17" i="13"/>
  <c r="G17" i="13"/>
  <c r="L250" i="1"/>
  <c r="F18" i="13"/>
  <c r="G18" i="13"/>
  <c r="L251" i="1"/>
  <c r="F19" i="13"/>
  <c r="G19" i="13"/>
  <c r="L252" i="1"/>
  <c r="F29" i="13"/>
  <c r="G29" i="13"/>
  <c r="L357" i="1"/>
  <c r="D29" i="13" s="1"/>
  <c r="C29" i="13" s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E117" i="2" s="1"/>
  <c r="L281" i="1"/>
  <c r="L282" i="1"/>
  <c r="E119" i="2" s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C56" i="2" s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H168" i="1" s="1"/>
  <c r="I146" i="1"/>
  <c r="I161" i="1"/>
  <c r="C11" i="10"/>
  <c r="C12" i="10"/>
  <c r="C13" i="10"/>
  <c r="C19" i="10"/>
  <c r="C20" i="10"/>
  <c r="L249" i="1"/>
  <c r="L331" i="1"/>
  <c r="C23" i="10" s="1"/>
  <c r="L253" i="1"/>
  <c r="C25" i="10"/>
  <c r="L267" i="1"/>
  <c r="L268" i="1"/>
  <c r="L348" i="1"/>
  <c r="L349" i="1"/>
  <c r="I664" i="1"/>
  <c r="I669" i="1"/>
  <c r="F660" i="1"/>
  <c r="F661" i="1"/>
  <c r="G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K549" i="1" s="1"/>
  <c r="L522" i="1"/>
  <c r="F550" i="1" s="1"/>
  <c r="L525" i="1"/>
  <c r="G548" i="1" s="1"/>
  <c r="G551" i="1" s="1"/>
  <c r="L526" i="1"/>
  <c r="G549" i="1" s="1"/>
  <c r="L527" i="1"/>
  <c r="G550" i="1" s="1"/>
  <c r="L530" i="1"/>
  <c r="H548" i="1" s="1"/>
  <c r="H551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L269" i="1" s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C31" i="2" s="1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48" i="2"/>
  <c r="C55" i="2"/>
  <c r="D55" i="2"/>
  <c r="E55" i="2"/>
  <c r="F55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G102" i="2" s="1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E108" i="2"/>
  <c r="E114" i="2" s="1"/>
  <c r="E109" i="2"/>
  <c r="C110" i="2"/>
  <c r="E110" i="2"/>
  <c r="C111" i="2"/>
  <c r="E111" i="2"/>
  <c r="C112" i="2"/>
  <c r="E112" i="2"/>
  <c r="C113" i="2"/>
  <c r="E113" i="2"/>
  <c r="D114" i="2"/>
  <c r="F114" i="2"/>
  <c r="G114" i="2"/>
  <c r="C118" i="2"/>
  <c r="E118" i="2"/>
  <c r="E120" i="2"/>
  <c r="C121" i="2"/>
  <c r="E121" i="2"/>
  <c r="C122" i="2"/>
  <c r="E122" i="2"/>
  <c r="E123" i="2"/>
  <c r="E124" i="2"/>
  <c r="F127" i="2"/>
  <c r="G127" i="2"/>
  <c r="C129" i="2"/>
  <c r="E129" i="2"/>
  <c r="F129" i="2"/>
  <c r="D133" i="2"/>
  <c r="D143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G191" i="1" s="1"/>
  <c r="H182" i="1"/>
  <c r="I182" i="1"/>
  <c r="J182" i="1"/>
  <c r="J191" i="1" s="1"/>
  <c r="F187" i="1"/>
  <c r="G187" i="1"/>
  <c r="H187" i="1"/>
  <c r="I187" i="1"/>
  <c r="F210" i="1"/>
  <c r="F256" i="1" s="1"/>
  <c r="F270" i="1" s="1"/>
  <c r="G210" i="1"/>
  <c r="G256" i="1" s="1"/>
  <c r="G270" i="1" s="1"/>
  <c r="H210" i="1"/>
  <c r="I210" i="1"/>
  <c r="I256" i="1" s="1"/>
  <c r="I270" i="1" s="1"/>
  <c r="J210" i="1"/>
  <c r="J256" i="1" s="1"/>
  <c r="J270" i="1" s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89" i="1"/>
  <c r="F337" i="1" s="1"/>
  <c r="F351" i="1" s="1"/>
  <c r="G289" i="1"/>
  <c r="G337" i="1" s="1"/>
  <c r="G351" i="1" s="1"/>
  <c r="H289" i="1"/>
  <c r="H337" i="1" s="1"/>
  <c r="H351" i="1" s="1"/>
  <c r="I289" i="1"/>
  <c r="F308" i="1"/>
  <c r="G308" i="1"/>
  <c r="H308" i="1"/>
  <c r="I308" i="1"/>
  <c r="F327" i="1"/>
  <c r="G327" i="1"/>
  <c r="H327" i="1"/>
  <c r="I327" i="1"/>
  <c r="F336" i="1"/>
  <c r="G336" i="1"/>
  <c r="L336" i="1" s="1"/>
  <c r="H336" i="1"/>
  <c r="I336" i="1"/>
  <c r="J336" i="1"/>
  <c r="J337" i="1" s="1"/>
  <c r="J351" i="1" s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H633" i="1" s="1"/>
  <c r="J633" i="1" s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H643" i="1" s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G639" i="1" s="1"/>
  <c r="H445" i="1"/>
  <c r="F451" i="1"/>
  <c r="G451" i="1"/>
  <c r="H451" i="1"/>
  <c r="I451" i="1"/>
  <c r="F459" i="1"/>
  <c r="G459" i="1"/>
  <c r="G460" i="1" s="1"/>
  <c r="H639" i="1" s="1"/>
  <c r="H459" i="1"/>
  <c r="F460" i="1"/>
  <c r="H460" i="1"/>
  <c r="F469" i="1"/>
  <c r="G469" i="1"/>
  <c r="H469" i="1"/>
  <c r="I469" i="1"/>
  <c r="J469" i="1"/>
  <c r="J475" i="1" s="1"/>
  <c r="H625" i="1" s="1"/>
  <c r="F473" i="1"/>
  <c r="F475" i="1" s="1"/>
  <c r="H621" i="1" s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I544" i="1" s="1"/>
  <c r="J523" i="1"/>
  <c r="K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7" i="1" s="1"/>
  <c r="G646" i="1" s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K604" i="1" s="1"/>
  <c r="G647" i="1" s="1"/>
  <c r="H604" i="1"/>
  <c r="I604" i="1"/>
  <c r="J604" i="1"/>
  <c r="F613" i="1"/>
  <c r="G613" i="1"/>
  <c r="H613" i="1"/>
  <c r="I613" i="1"/>
  <c r="J613" i="1"/>
  <c r="K613" i="1"/>
  <c r="G617" i="1"/>
  <c r="G618" i="1"/>
  <c r="G619" i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4" i="1"/>
  <c r="H635" i="1"/>
  <c r="H636" i="1"/>
  <c r="H637" i="1"/>
  <c r="G638" i="1"/>
  <c r="J638" i="1" s="1"/>
  <c r="H638" i="1"/>
  <c r="G640" i="1"/>
  <c r="H640" i="1"/>
  <c r="G642" i="1"/>
  <c r="H642" i="1"/>
  <c r="G643" i="1"/>
  <c r="H644" i="1"/>
  <c r="H646" i="1"/>
  <c r="G649" i="1"/>
  <c r="G650" i="1"/>
  <c r="G651" i="1"/>
  <c r="H651" i="1"/>
  <c r="G652" i="1"/>
  <c r="H652" i="1"/>
  <c r="G653" i="1"/>
  <c r="H653" i="1"/>
  <c r="H654" i="1"/>
  <c r="F191" i="1"/>
  <c r="L255" i="1"/>
  <c r="K256" i="1"/>
  <c r="G163" i="2"/>
  <c r="G159" i="2"/>
  <c r="F31" i="2"/>
  <c r="C26" i="10"/>
  <c r="L327" i="1"/>
  <c r="L350" i="1"/>
  <c r="A31" i="12"/>
  <c r="C69" i="2"/>
  <c r="A40" i="12"/>
  <c r="G161" i="2"/>
  <c r="D61" i="2"/>
  <c r="D62" i="2" s="1"/>
  <c r="E49" i="2"/>
  <c r="D18" i="13"/>
  <c r="C18" i="13" s="1"/>
  <c r="F102" i="2"/>
  <c r="D18" i="2"/>
  <c r="E18" i="2"/>
  <c r="D17" i="13"/>
  <c r="C17" i="13" s="1"/>
  <c r="D6" i="13"/>
  <c r="C6" i="13" s="1"/>
  <c r="G158" i="2"/>
  <c r="C90" i="2"/>
  <c r="G80" i="2"/>
  <c r="F77" i="2"/>
  <c r="F80" i="2" s="1"/>
  <c r="F61" i="2"/>
  <c r="F62" i="2" s="1"/>
  <c r="D31" i="2"/>
  <c r="C77" i="2"/>
  <c r="C80" i="2" s="1"/>
  <c r="D49" i="2"/>
  <c r="G156" i="2"/>
  <c r="F49" i="2"/>
  <c r="F50" i="2" s="1"/>
  <c r="F18" i="2"/>
  <c r="G162" i="2"/>
  <c r="G160" i="2"/>
  <c r="G157" i="2"/>
  <c r="G155" i="2"/>
  <c r="E143" i="2"/>
  <c r="E102" i="2"/>
  <c r="C102" i="2"/>
  <c r="D90" i="2"/>
  <c r="F90" i="2"/>
  <c r="E61" i="2"/>
  <c r="E62" i="2" s="1"/>
  <c r="E31" i="2"/>
  <c r="G61" i="2"/>
  <c r="D19" i="13"/>
  <c r="C19" i="13" s="1"/>
  <c r="E13" i="13"/>
  <c r="C13" i="13" s="1"/>
  <c r="E77" i="2"/>
  <c r="E80" i="2" s="1"/>
  <c r="L426" i="1"/>
  <c r="H111" i="1"/>
  <c r="J640" i="1"/>
  <c r="J570" i="1"/>
  <c r="K570" i="1"/>
  <c r="L432" i="1"/>
  <c r="L418" i="1"/>
  <c r="D80" i="2"/>
  <c r="I168" i="1"/>
  <c r="E50" i="2"/>
  <c r="J642" i="1"/>
  <c r="H475" i="1"/>
  <c r="H623" i="1" s="1"/>
  <c r="J623" i="1" s="1"/>
  <c r="I475" i="1"/>
  <c r="H624" i="1" s="1"/>
  <c r="J624" i="1" s="1"/>
  <c r="F168" i="1"/>
  <c r="J139" i="1"/>
  <c r="F570" i="1"/>
  <c r="I551" i="1"/>
  <c r="G22" i="2"/>
  <c r="K544" i="1"/>
  <c r="J551" i="1"/>
  <c r="C29" i="10"/>
  <c r="H139" i="1"/>
  <c r="L392" i="1"/>
  <c r="F22" i="13"/>
  <c r="H25" i="13"/>
  <c r="C25" i="13" s="1"/>
  <c r="H570" i="1"/>
  <c r="L559" i="1"/>
  <c r="J544" i="1"/>
  <c r="H191" i="1"/>
  <c r="C35" i="10"/>
  <c r="L308" i="1"/>
  <c r="E16" i="13"/>
  <c r="C49" i="2"/>
  <c r="L569" i="1"/>
  <c r="I570" i="1"/>
  <c r="J635" i="1"/>
  <c r="G36" i="2"/>
  <c r="L564" i="1"/>
  <c r="G544" i="1"/>
  <c r="K550" i="1"/>
  <c r="C22" i="13"/>
  <c r="C137" i="2"/>
  <c r="C16" i="13"/>
  <c r="H33" i="13"/>
  <c r="J643" i="1" l="1"/>
  <c r="J639" i="1"/>
  <c r="I459" i="1"/>
  <c r="I460" i="1" s="1"/>
  <c r="H641" i="1" s="1"/>
  <c r="I445" i="1"/>
  <c r="G641" i="1" s="1"/>
  <c r="L400" i="1"/>
  <c r="C138" i="2" s="1"/>
  <c r="A13" i="12"/>
  <c r="G644" i="1"/>
  <c r="J644" i="1" s="1"/>
  <c r="J654" i="1"/>
  <c r="L613" i="1"/>
  <c r="J650" i="1"/>
  <c r="J648" i="1"/>
  <c r="L523" i="1"/>
  <c r="L544" i="1" s="1"/>
  <c r="F551" i="1"/>
  <c r="H544" i="1"/>
  <c r="K548" i="1"/>
  <c r="K551" i="1" s="1"/>
  <c r="D126" i="2"/>
  <c r="D127" i="2" s="1"/>
  <c r="D144" i="2"/>
  <c r="H660" i="1"/>
  <c r="L361" i="1"/>
  <c r="G660" i="1"/>
  <c r="I660" i="1" s="1"/>
  <c r="E127" i="2"/>
  <c r="E144" i="2" s="1"/>
  <c r="C16" i="10"/>
  <c r="L289" i="1"/>
  <c r="H256" i="1"/>
  <c r="H270" i="1" s="1"/>
  <c r="C21" i="10"/>
  <c r="J646" i="1"/>
  <c r="I661" i="1"/>
  <c r="L246" i="1"/>
  <c r="H659" i="1" s="1"/>
  <c r="H663" i="1" s="1"/>
  <c r="H671" i="1" s="1"/>
  <c r="C6" i="10" s="1"/>
  <c r="C123" i="2"/>
  <c r="C109" i="2"/>
  <c r="C10" i="10"/>
  <c r="K270" i="1"/>
  <c r="D12" i="13"/>
  <c r="C12" i="13" s="1"/>
  <c r="C120" i="2"/>
  <c r="D7" i="13"/>
  <c r="C7" i="13" s="1"/>
  <c r="D5" i="13"/>
  <c r="C5" i="13" s="1"/>
  <c r="D15" i="13"/>
  <c r="C15" i="13" s="1"/>
  <c r="C108" i="2"/>
  <c r="L210" i="1"/>
  <c r="C17" i="10"/>
  <c r="E8" i="13"/>
  <c r="C8" i="13" s="1"/>
  <c r="C119" i="2"/>
  <c r="C15" i="10"/>
  <c r="G475" i="1"/>
  <c r="H622" i="1" s="1"/>
  <c r="J622" i="1" s="1"/>
  <c r="C61" i="2"/>
  <c r="C62" i="2" s="1"/>
  <c r="C103" i="2" s="1"/>
  <c r="F111" i="1"/>
  <c r="C36" i="10" s="1"/>
  <c r="J621" i="1"/>
  <c r="C50" i="2"/>
  <c r="J616" i="1"/>
  <c r="C18" i="2"/>
  <c r="L337" i="1"/>
  <c r="L351" i="1" s="1"/>
  <c r="G632" i="1" s="1"/>
  <c r="J632" i="1" s="1"/>
  <c r="C24" i="10"/>
  <c r="G659" i="1"/>
  <c r="G663" i="1" s="1"/>
  <c r="G666" i="1" s="1"/>
  <c r="G31" i="13"/>
  <c r="G33" i="13" s="1"/>
  <c r="I337" i="1"/>
  <c r="I351" i="1" s="1"/>
  <c r="J649" i="1"/>
  <c r="L406" i="1"/>
  <c r="C139" i="2" s="1"/>
  <c r="L570" i="1"/>
  <c r="I191" i="1"/>
  <c r="E90" i="2"/>
  <c r="L407" i="1"/>
  <c r="G636" i="1" s="1"/>
  <c r="J636" i="1" s="1"/>
  <c r="D50" i="2"/>
  <c r="J653" i="1"/>
  <c r="J652" i="1"/>
  <c r="F143" i="2"/>
  <c r="F144" i="2" s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F31" i="13"/>
  <c r="F33" i="13" s="1"/>
  <c r="J192" i="1"/>
  <c r="G645" i="1" s="1"/>
  <c r="F103" i="2"/>
  <c r="H192" i="1"/>
  <c r="G628" i="1" s="1"/>
  <c r="J628" i="1" s="1"/>
  <c r="G168" i="1"/>
  <c r="C39" i="10" s="1"/>
  <c r="G139" i="1"/>
  <c r="F139" i="1"/>
  <c r="F192" i="1" s="1"/>
  <c r="G626" i="1" s="1"/>
  <c r="J626" i="1" s="1"/>
  <c r="G62" i="2"/>
  <c r="G103" i="2" s="1"/>
  <c r="J617" i="1"/>
  <c r="G42" i="2"/>
  <c r="J50" i="1"/>
  <c r="G16" i="2"/>
  <c r="J19" i="1"/>
  <c r="G620" i="1" s="1"/>
  <c r="G18" i="2"/>
  <c r="F544" i="1"/>
  <c r="H433" i="1"/>
  <c r="J619" i="1"/>
  <c r="J618" i="1"/>
  <c r="D102" i="2"/>
  <c r="D103" i="2" s="1"/>
  <c r="I139" i="1"/>
  <c r="I192" i="1" s="1"/>
  <c r="G629" i="1" s="1"/>
  <c r="J629" i="1" s="1"/>
  <c r="A22" i="12"/>
  <c r="G49" i="2"/>
  <c r="G50" i="2" s="1"/>
  <c r="H647" i="1"/>
  <c r="J647" i="1" s="1"/>
  <c r="J651" i="1"/>
  <c r="J641" i="1"/>
  <c r="G570" i="1"/>
  <c r="I433" i="1"/>
  <c r="G433" i="1"/>
  <c r="E103" i="2"/>
  <c r="I662" i="1"/>
  <c r="C27" i="10"/>
  <c r="G634" i="1"/>
  <c r="J634" i="1" s="1"/>
  <c r="C140" i="2" l="1"/>
  <c r="C143" i="2" s="1"/>
  <c r="H645" i="1"/>
  <c r="J645" i="1" s="1"/>
  <c r="D31" i="13"/>
  <c r="C31" i="13" s="1"/>
  <c r="L256" i="1"/>
  <c r="L270" i="1" s="1"/>
  <c r="G631" i="1" s="1"/>
  <c r="J631" i="1" s="1"/>
  <c r="G671" i="1"/>
  <c r="C5" i="10" s="1"/>
  <c r="C127" i="2"/>
  <c r="H666" i="1"/>
  <c r="C114" i="2"/>
  <c r="F659" i="1"/>
  <c r="F663" i="1" s="1"/>
  <c r="F666" i="1" s="1"/>
  <c r="C28" i="10"/>
  <c r="D24" i="10" s="1"/>
  <c r="E33" i="13"/>
  <c r="D35" i="13" s="1"/>
  <c r="G630" i="1"/>
  <c r="J630" i="1" s="1"/>
  <c r="G192" i="1"/>
  <c r="G627" i="1" s="1"/>
  <c r="J627" i="1" s="1"/>
  <c r="G625" i="1"/>
  <c r="J625" i="1" s="1"/>
  <c r="J51" i="1"/>
  <c r="H620" i="1" s="1"/>
  <c r="J620" i="1" s="1"/>
  <c r="C38" i="10"/>
  <c r="D33" i="13" l="1"/>
  <c r="D36" i="13" s="1"/>
  <c r="C144" i="2"/>
  <c r="D12" i="10"/>
  <c r="D27" i="10"/>
  <c r="D23" i="10"/>
  <c r="I659" i="1"/>
  <c r="I663" i="1" s="1"/>
  <c r="I671" i="1" s="1"/>
  <c r="C7" i="10" s="1"/>
  <c r="D18" i="10"/>
  <c r="D17" i="10"/>
  <c r="D10" i="10"/>
  <c r="D26" i="10"/>
  <c r="C30" i="10"/>
  <c r="D16" i="10"/>
  <c r="F671" i="1"/>
  <c r="C4" i="10" s="1"/>
  <c r="D20" i="10"/>
  <c r="D15" i="10"/>
  <c r="D25" i="10"/>
  <c r="D19" i="10"/>
  <c r="D13" i="10"/>
  <c r="D11" i="10"/>
  <c r="D21" i="10"/>
  <c r="D22" i="10"/>
  <c r="H655" i="1"/>
  <c r="C41" i="10"/>
  <c r="D38" i="10" s="1"/>
  <c r="I666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<sst xmlns="http://schemas.openxmlformats.org/spreadsheetml/2006/main" count="3944" uniqueCount="910">
  <si>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</si>
  <si>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</si>
  <si>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</si>
  <si>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</si>
  <si>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</si>
  <si>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</si>
  <si>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</si>
  <si>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</si>
  <si>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</si>
  <si>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</si>
  <si>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</si>
  <si>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</si>
  <si>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</si>
  <si>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</si>
  <si>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</si>
  <si>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</si>
  <si>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</si>
  <si>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</si>
  <si>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</si>
  <si>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</si>
  <si>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</si>
  <si>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</si>
  <si>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</si>
  <si>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</si>
  <si>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</si>
  <si>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</si>
  <si>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</si>
  <si>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</si>
  <si>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</si>
  <si>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</si>
  <si>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</si>
  <si>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</si>
  <si>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</si>
  <si>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</si>
  <si>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</si>
  <si>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</si>
  <si>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</si>
  <si>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</si>
  <si>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</si>
  <si>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</si>
  <si>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</si>
  <si>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</si>
  <si>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</si>
  <si>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</si>
  <si>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</si>
  <si>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</si>
  <si>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</si>
  <si>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</si>
  <si>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</si>
  <si>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</si>
  <si>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</si>
  <si>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</si>
  <si>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</si>
  <si>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</si>
  <si>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</si>
  <si>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</si>
  <si>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</si>
  <si>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</si>
  <si>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</si>
  <si>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</si>
  <si>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</si>
  <si>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</si>
  <si>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</si>
  <si>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</si>
  <si>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</si>
  <si>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</si>
  <si>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</si>
  <si>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</si>
  <si>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</si>
  <si>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</si>
  <si>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</si>
  <si>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</si>
  <si>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</si>
  <si>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</si>
  <si>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</si>
  <si>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</si>
  <si>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</si>
  <si>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</si>
  <si>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</si>
  <si>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</si>
  <si>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</si>
  <si>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</si>
  <si>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</si>
  <si>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</si>
  <si>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</si>
  <si>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</si>
  <si>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</si>
  <si>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</si>
  <si>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</si>
  <si>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</si>
  <si>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</si>
  <si>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</si>
  <si>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</si>
  <si>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</si>
  <si>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</si>
  <si>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</si>
  <si>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</si>
  <si>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</si>
  <si>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</si>
  <si>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</si>
  <si>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</si>
  <si>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</si>
  <si>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</si>
  <si>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</si>
  <si>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</si>
  <si>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</si>
  <si>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</si>
  <si>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</si>
  <si>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</si>
  <si>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</si>
  <si>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</si>
  <si>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</si>
  <si>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</si>
  <si>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</si>
  <si>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</si>
  <si>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</si>
  <si>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</si>
  <si>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</si>
  <si>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</si>
  <si>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</si>
  <si>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</si>
  <si>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</si>
  <si>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</si>
  <si>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</si>
  <si>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</si>
  <si>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</si>
  <si>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</si>
  <si>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</si>
  <si>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</si>
  <si>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</si>
  <si>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</si>
  <si>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</si>
  <si>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</si>
  <si>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</si>
  <si>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</si>
  <si>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</si>
  <si>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</si>
  <si>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</si>
  <si>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</si>
  <si>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</si>
  <si>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</si>
  <si>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</si>
  <si>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</si>
  <si>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</si>
  <si>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</si>
  <si>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</si>
  <si>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</si>
  <si>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</si>
  <si>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</si>
  <si>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</si>
  <si>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</si>
  <si>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</si>
  <si>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</si>
  <si>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</si>
  <si>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</si>
  <si>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</si>
  <si>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</si>
  <si>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</si>
  <si>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</si>
  <si>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</si>
  <si>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</si>
  <si>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</si>
  <si>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</si>
  <si>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</si>
  <si>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</si>
  <si>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</si>
  <si>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</si>
  <si>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</si>
  <si>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</si>
  <si>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</si>
  <si>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</si>
  <si>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</si>
  <si>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</si>
  <si>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</si>
  <si>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</si>
  <si>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</si>
  <si>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</si>
  <si>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</si>
  <si>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</si>
  <si>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</si>
  <si>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</si>
  <si>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</si>
  <si>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</si>
  <si>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</si>
  <si>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</si>
  <si>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</si>
  <si>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</si>
  <si>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</si>
  <si>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</si>
  <si>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</si>
  <si>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</si>
  <si>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</si>
  <si>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</si>
  <si>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</si>
  <si>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</si>
  <si>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</si>
  <si>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</si>
  <si>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</si>
  <si>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</si>
  <si>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</si>
  <si>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</si>
  <si>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</si>
  <si>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</si>
  <si>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</si>
  <si>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</si>
  <si>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</si>
  <si>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</si>
  <si>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</si>
  <si>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</si>
  <si>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</si>
  <si>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</si>
  <si>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</si>
  <si>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</si>
  <si>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</si>
  <si>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</si>
  <si>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</si>
  <si>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</si>
  <si>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</si>
  <si>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</si>
  <si>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</si>
  <si>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</si>
  <si>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</si>
  <si>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</si>
  <si>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</si>
  <si>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</si>
  <si>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</si>
  <si>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</si>
  <si>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</si>
  <si>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</si>
  <si>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</si>
  <si>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</si>
  <si>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</si>
  <si>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</si>
  <si>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</si>
  <si>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</si>
  <si>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</si>
  <si>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</si>
  <si>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</si>
  <si>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</si>
  <si>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</si>
  <si>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</si>
  <si>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</si>
  <si>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</si>
  <si>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</si>
  <si>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</si>
  <si>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</si>
  <si>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</si>
  <si>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</si>
  <si>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</si>
  <si>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</si>
  <si>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</si>
  <si>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</si>
  <si>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</si>
  <si>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</si>
  <si>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</si>
  <si>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</si>
  <si>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</si>
  <si>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</si>
  <si>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</si>
  <si>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</si>
  <si>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</si>
  <si>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</si>
  <si>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</si>
  <si>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</si>
  <si>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</si>
  <si>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</si>
  <si>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</si>
  <si>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</si>
  <si>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</si>
  <si>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</si>
  <si>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</si>
  <si>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</si>
  <si>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</si>
  <si>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</si>
  <si>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</si>
  <si>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</si>
  <si>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</si>
  <si>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</si>
  <si>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</si>
  <si>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</si>
  <si>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</si>
  <si>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</si>
  <si>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</si>
  <si>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</si>
  <si>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</si>
  <si>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</si>
  <si>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</si>
  <si>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</si>
  <si>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</si>
  <si>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</si>
  <si>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</si>
  <si>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</si>
  <si>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</si>
  <si>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</si>
  <si>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</si>
  <si>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</si>
  <si>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</si>
  <si>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</si>
  <si>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</si>
  <si>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</si>
  <si>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</si>
  <si>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</si>
  <si>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</si>
  <si>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</si>
  <si>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</si>
  <si>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</si>
  <si>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</si>
  <si>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</si>
  <si>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</si>
  <si>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</si>
  <si>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</si>
  <si>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</si>
  <si>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</si>
  <si>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</si>
  <si>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</si>
  <si>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</si>
  <si>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</si>
  <si>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</si>
  <si>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</si>
  <si>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</si>
  <si>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</si>
  <si>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</si>
  <si>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</si>
  <si>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</si>
  <si>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</si>
  <si>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</si>
  <si>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</si>
  <si>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</si>
  <si>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</si>
  <si>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</si>
  <si>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</si>
  <si>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</si>
  <si>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</si>
  <si>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</si>
  <si>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</si>
  <si>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</si>
  <si>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</si>
  <si>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</si>
  <si>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</si>
  <si>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</si>
  <si>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</si>
  <si>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</si>
  <si>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</si>
  <si>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</si>
  <si>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</si>
  <si>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</si>
  <si>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</si>
  <si>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</si>
  <si>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</si>
  <si>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</si>
  <si>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</si>
  <si>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</si>
  <si>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</si>
  <si>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</si>
  <si>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</si>
  <si>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</si>
  <si>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</si>
  <si>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</si>
  <si>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</si>
  <si>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</si>
  <si>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</si>
  <si>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</si>
  <si>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</si>
  <si>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</si>
  <si>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</si>
  <si>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</si>
  <si>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</si>
  <si>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</si>
  <si>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</si>
  <si>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</si>
  <si>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</si>
  <si>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</si>
  <si>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</si>
  <si>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</si>
  <si>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</si>
  <si>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</si>
  <si>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</si>
  <si>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</si>
  <si>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</si>
  <si>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</si>
  <si>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</si>
  <si>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</si>
  <si>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</si>
  <si>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</si>
  <si>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</si>
  <si>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</si>
  <si>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</si>
  <si>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</si>
  <si>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</si>
  <si>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</si>
  <si>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</si>
  <si>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</si>
  <si>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</si>
  <si>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</si>
  <si>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</si>
  <si>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</si>
  <si>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</si>
  <si>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</si>
  <si>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</si>
  <si>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</si>
  <si>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</si>
  <si>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</si>
  <si>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</si>
  <si>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</si>
  <si>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</si>
  <si>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</si>
  <si>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</si>
  <si>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</si>
  <si>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</si>
  <si>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</si>
  <si>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</si>
  <si>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</si>
  <si>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</si>
  <si>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</si>
  <si>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</si>
  <si>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</si>
  <si>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</si>
  <si>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</si>
  <si>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</si>
  <si>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</si>
  <si>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</si>
  <si>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</si>
  <si>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</si>
  <si>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</si>
  <si>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</si>
  <si>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</si>
  <si>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</si>
  <si>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</si>
  <si>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</si>
  <si>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</si>
  <si>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</si>
  <si>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</si>
  <si>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</si>
  <si>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</si>
  <si>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</si>
  <si>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</si>
  <si>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</si>
  <si>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</si>
  <si>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</si>
  <si>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</si>
  <si>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</si>
  <si>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</si>
  <si>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</si>
  <si>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</si>
  <si>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</si>
  <si>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</si>
  <si>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</si>
  <si>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</si>
  <si>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</si>
  <si>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</si>
  <si>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</si>
  <si>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</si>
  <si>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</si>
  <si>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</si>
  <si>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</si>
  <si>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</si>
  <si>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</si>
  <si>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</si>
  <si>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</si>
  <si>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</si>
  <si>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</si>
  <si>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</si>
  <si>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</si>
  <si>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</si>
  <si>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</si>
  <si>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</si>
  <si>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</si>
  <si>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</si>
  <si>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</si>
  <si>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</si>
  <si>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</si>
  <si>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</si>
  <si>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</si>
  <si>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</si>
  <si>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</si>
  <si>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</si>
  <si>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</si>
  <si>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</si>
  <si>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</si>
  <si>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</si>
  <si>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</si>
  <si>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</si>
  <si>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</si>
  <si>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</si>
  <si>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</si>
  <si>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</si>
  <si>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</si>
  <si>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</si>
  <si>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</si>
  <si>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</si>
  <si>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</si>
  <si>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</si>
  <si>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</si>
  <si>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</si>
  <si>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</si>
  <si>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</si>
  <si>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</si>
  <si>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</si>
  <si>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</si>
  <si>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</si>
  <si>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</si>
  <si>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</si>
  <si>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</si>
  <si>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</si>
  <si>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</si>
  <si>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</si>
  <si>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</si>
  <si>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</si>
  <si>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</si>
  <si>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</si>
  <si>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</si>
  <si>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</si>
  <si>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</si>
  <si>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</si>
  <si>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</si>
  <si>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</si>
  <si>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</si>
  <si>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</si>
  <si>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</si>
  <si>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</si>
  <si>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</si>
  <si>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</si>
  <si>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</si>
  <si>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</si>
  <si>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</si>
  <si>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</si>
  <si>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</si>
  <si>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</si>
  <si>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</si>
  <si>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</si>
  <si>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</si>
  <si>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</si>
  <si>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</si>
  <si>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</si>
  <si>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</si>
  <si>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</si>
  <si>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</si>
  <si>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</si>
  <si>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</si>
  <si>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</si>
  <si>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</si>
  <si>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</si>
  <si>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</si>
  <si>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</si>
  <si>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</si>
  <si>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</si>
  <si>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</si>
  <si>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</si>
  <si>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</si>
  <si>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</si>
  <si>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</si>
  <si>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</si>
  <si>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</si>
  <si>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</si>
  <si>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</si>
  <si>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</si>
  <si>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</si>
  <si>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</si>
  <si>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</si>
  <si>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</si>
  <si>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</si>
  <si>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</si>
  <si>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</si>
  <si>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</si>
  <si>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</si>
  <si>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</si>
  <si>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</si>
  <si>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</si>
  <si>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</si>
  <si>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</si>
  <si>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</si>
  <si>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</si>
  <si>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</si>
  <si>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</si>
  <si>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</si>
  <si>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</si>
  <si>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</si>
  <si>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</si>
  <si>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</si>
  <si>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</si>
  <si>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</si>
  <si>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</si>
  <si>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</si>
  <si>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</si>
  <si>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</si>
  <si>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</si>
  <si>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</si>
  <si>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</si>
  <si>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</si>
  <si>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</si>
  <si>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</si>
  <si>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</si>
  <si>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</si>
  <si>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</si>
  <si>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</si>
  <si>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</si>
  <si>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</si>
  <si>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</si>
  <si>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</si>
  <si>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</si>
  <si>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</si>
  <si>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</si>
  <si>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</si>
  <si>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</si>
  <si>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</si>
  <si>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</si>
  <si>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</si>
  <si>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</si>
  <si>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</si>
  <si>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</si>
  <si>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</si>
  <si>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</si>
  <si>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</si>
  <si>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</si>
  <si>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</si>
  <si>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</si>
  <si>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</si>
  <si>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</si>
  <si>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</si>
  <si>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</si>
  <si>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</si>
  <si>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</si>
  <si>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</si>
  <si>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</si>
  <si>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</si>
  <si>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</si>
  <si>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</si>
  <si>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</si>
  <si>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</si>
  <si>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</si>
  <si>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</si>
  <si>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</si>
  <si>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</si>
  <si>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</si>
  <si>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</si>
  <si>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</si>
  <si>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</si>
  <si>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</si>
  <si>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</si>
  <si>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</si>
  <si>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</si>
  <si>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</si>
  <si>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</si>
  <si>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</si>
  <si>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</si>
  <si>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</si>
  <si>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</si>
  <si>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</si>
  <si>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</si>
  <si>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</si>
  <si>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</si>
  <si>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</si>
  <si>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</si>
  <si>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</si>
  <si>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</si>
  <si>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</si>
  <si>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</si>
  <si>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</si>
  <si>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</si>
  <si>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</si>
  <si>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</si>
  <si>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</si>
  <si>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</si>
  <si>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</si>
  <si>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</si>
  <si>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</si>
  <si>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</si>
  <si>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</si>
  <si>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</si>
  <si>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</si>
  <si>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</si>
  <si>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</si>
  <si>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</si>
  <si>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</si>
  <si>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</si>
  <si>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</si>
  <si>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</si>
  <si>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</si>
  <si>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</si>
  <si>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</si>
  <si>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</si>
  <si>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</si>
  <si>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</si>
  <si>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</si>
  <si>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</si>
  <si>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</si>
  <si>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</si>
  <si>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</si>
  <si>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</si>
  <si>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</si>
  <si>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</si>
  <si>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</si>
  <si>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</si>
  <si>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</si>
  <si>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</si>
  <si>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</si>
  <si>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</si>
  <si>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</si>
  <si>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</si>
  <si>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</si>
  <si>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</si>
  <si>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</si>
  <si>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</si>
  <si>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</si>
  <si>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</si>
  <si>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</si>
  <si>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</si>
  <si>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</si>
  <si>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</si>
  <si>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</si>
  <si>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</si>
  <si>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</si>
  <si>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</si>
  <si>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</si>
  <si>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</si>
  <si>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</si>
  <si>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</si>
  <si>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</si>
  <si>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</si>
  <si>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</si>
  <si>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</si>
  <si>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</si>
  <si>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</si>
  <si>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</si>
  <si>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</si>
  <si>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</si>
  <si>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</si>
  <si>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</si>
  <si>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</si>
  <si>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</si>
  <si>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</si>
  <si>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</si>
  <si>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</si>
  <si>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</si>
  <si>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</si>
  <si>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</si>
  <si>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</si>
  <si>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</si>
  <si>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</si>
  <si>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</si>
  <si>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</si>
  <si>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</si>
  <si>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</si>
  <si>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</si>
  <si>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</si>
  <si>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</si>
  <si>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</si>
  <si>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</si>
  <si>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</si>
  <si>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</si>
  <si>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</si>
  <si>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</si>
  <si>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</si>
  <si>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</si>
  <si>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</si>
  <si>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</si>
  <si>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</si>
  <si>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</si>
  <si>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</si>
  <si>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</si>
  <si>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</si>
  <si>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</si>
  <si>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</si>
  <si>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</si>
  <si>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</si>
  <si>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</si>
  <si>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</si>
  <si>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</si>
  <si>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</si>
  <si>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</si>
  <si>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</si>
  <si>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</si>
  <si>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</si>
  <si>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</si>
  <si>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</si>
  <si>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</si>
  <si>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</si>
  <si>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</si>
  <si>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</si>
  <si>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</si>
  <si>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</si>
  <si>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</si>
  <si>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</si>
  <si>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</si>
  <si>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</si>
  <si>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</si>
  <si>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</si>
  <si>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</si>
  <si>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</si>
  <si>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</si>
  <si>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</si>
  <si>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</si>
  <si>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</si>
  <si>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</si>
  <si>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</si>
  <si>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</si>
  <si>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</si>
  <si>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</si>
  <si>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</si>
  <si>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</si>
  <si>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</si>
  <si>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</si>
  <si>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</si>
  <si>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</si>
  <si>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</si>
  <si>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</si>
  <si>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</si>
  <si>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</si>
  <si>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</si>
  <si>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</si>
  <si>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</si>
  <si>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</si>
  <si>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</si>
  <si>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</si>
  <si>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</si>
  <si>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</si>
  <si>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</si>
  <si>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</si>
  <si>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</si>
  <si>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</si>
  <si>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</si>
  <si>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</si>
  <si>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</si>
  <si>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</si>
  <si>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</si>
  <si>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</si>
  <si>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</si>
  <si>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</si>
  <si>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</si>
  <si>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</si>
  <si>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</si>
  <si>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</si>
  <si>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</si>
  <si>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</si>
  <si>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</si>
  <si>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</si>
  <si>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</si>
  <si>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</si>
  <si>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</si>
  <si>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</si>
  <si>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</si>
  <si>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</si>
  <si>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</si>
  <si>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</si>
  <si>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</si>
  <si>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</si>
  <si>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</si>
  <si>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</si>
  <si>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</si>
  <si>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</si>
  <si>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</si>
  <si>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</si>
  <si>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</si>
  <si>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</si>
  <si>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</si>
  <si>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</si>
  <si>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</si>
  <si>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</si>
  <si>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</si>
  <si>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</si>
  <si>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</si>
  <si>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</si>
  <si>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</si>
  <si>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</si>
  <si>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</si>
  <si>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</si>
  <si>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</si>
  <si>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</si>
  <si>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</si>
  <si>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</si>
  <si>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</si>
  <si>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</si>
  <si>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</si>
  <si>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</si>
  <si>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</si>
  <si>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</si>
  <si>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</si>
  <si>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</si>
  <si>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</si>
  <si>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</si>
  <si>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</si>
  <si>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</si>
  <si>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</si>
  <si>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</si>
  <si>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</si>
  <si>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</si>
  <si>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</si>
  <si>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</si>
  <si>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</si>
  <si>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</si>
  <si>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</si>
  <si>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</si>
  <si>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</si>
  <si>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</si>
  <si>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</si>
  <si>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</si>
  <si>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</si>
  <si>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</si>
  <si>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</si>
  <si>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</si>
  <si>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</si>
  <si>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</si>
  <si>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</si>
  <si>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</si>
  <si>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</si>
  <si>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</si>
  <si>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</si>
  <si>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</si>
  <si>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</si>
  <si>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MARLOW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</si>
</sst>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Normal="100" workbookViewId="0">
      <pane xSplit="5" ySplit="3" topLeftCell="F524" activePane="bottomRight" state="frozen"/>
      <selection pane="topRight" activeCell="F1" sqref="F1"/>
      <selection pane="bottomLeft" activeCell="A4" sqref="A4"/>
      <selection pane="bottomRight" activeCell="H530" sqref="H53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909</v>
      </c>
      <c r="B2" s="21">
        <v>341</v>
      </c>
      <c r="C2" s="21">
        <v>341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176557.48-8773.83</f>
        <v>167783.65000000002</v>
      </c>
      <c r="G9" s="18"/>
      <c r="H9" s="18"/>
      <c r="I9" s="18"/>
      <c r="J9" s="67">
        <f>SUM(I438)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311013.64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10541.3</v>
      </c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3998.74</v>
      </c>
      <c r="G13" s="18"/>
      <c r="H13" s="18">
        <v>10541.3</v>
      </c>
      <c r="I13" s="18"/>
      <c r="J13" s="67">
        <f>SUM(I441)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3314.94</v>
      </c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185638.63</v>
      </c>
      <c r="G19" s="41">
        <f>SUM(G9:G18)</f>
        <v>0</v>
      </c>
      <c r="H19" s="41">
        <f>SUM(H9:H18)</f>
        <v>10541.3</v>
      </c>
      <c r="I19" s="41">
        <f>SUM(I9:I18)</f>
        <v>0</v>
      </c>
      <c r="J19" s="41">
        <f>SUM(J9:J18)</f>
        <v>311013.64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10541.3</v>
      </c>
      <c r="I22" s="18"/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778.25</v>
      </c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14574.71</v>
      </c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4022.2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19375.16</v>
      </c>
      <c r="G32" s="41">
        <f>SUM(G22:G31)</f>
        <v>0</v>
      </c>
      <c r="H32" s="41">
        <f>SUM(H22:H31)</f>
        <v>10541.3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75000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311013.64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>
        <v>1700</v>
      </c>
      <c r="G48" s="18"/>
      <c r="H48" s="18"/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89563.47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166263.47</v>
      </c>
      <c r="G50" s="41">
        <f>SUM(G35:G49)</f>
        <v>0</v>
      </c>
      <c r="H50" s="41">
        <f>SUM(H35:H49)</f>
        <v>0</v>
      </c>
      <c r="I50" s="41">
        <f>SUM(I35:I49)</f>
        <v>0</v>
      </c>
      <c r="J50" s="41">
        <f>SUM(J35:J49)</f>
        <v>311013.64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185638.63</v>
      </c>
      <c r="G51" s="41">
        <f>G50+G32</f>
        <v>0</v>
      </c>
      <c r="H51" s="41">
        <f>H50+H32</f>
        <v>10541.3</v>
      </c>
      <c r="I51" s="41">
        <f>I50+I32</f>
        <v>0</v>
      </c>
      <c r="J51" s="41">
        <f>J50+J32</f>
        <v>311013.64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928286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928286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187.25</v>
      </c>
      <c r="G95" s="18"/>
      <c r="H95" s="18"/>
      <c r="I95" s="18"/>
      <c r="J95" s="18">
        <f>146.39+50.19+12.45</f>
        <v>209.02999999999997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/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25.66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f>1228.52+4613.6</f>
        <v>5842.1200000000008</v>
      </c>
      <c r="G109" s="18"/>
      <c r="H109" s="18"/>
      <c r="I109" s="18"/>
      <c r="J109" s="18"/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6055.0300000000007</v>
      </c>
      <c r="G110" s="41">
        <f>SUM(G95:G109)</f>
        <v>0</v>
      </c>
      <c r="H110" s="41">
        <f>SUM(H95:H109)</f>
        <v>0</v>
      </c>
      <c r="I110" s="41">
        <f>SUM(I95:I109)</f>
        <v>0</v>
      </c>
      <c r="J110" s="41">
        <f>SUM(J95:J109)</f>
        <v>209.02999999999997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934341.03</v>
      </c>
      <c r="G111" s="41">
        <f>G59+G110</f>
        <v>0</v>
      </c>
      <c r="H111" s="41">
        <f>H59+H78+H93+H110</f>
        <v>0</v>
      </c>
      <c r="I111" s="41">
        <f>I59+I110</f>
        <v>0</v>
      </c>
      <c r="J111" s="41">
        <f>J59+J110</f>
        <v>209.02999999999997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580710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152541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733251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/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25779.51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/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25779.51</v>
      </c>
      <c r="G135" s="41">
        <f>SUM(G122:G134)</f>
        <v>0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759030.51</v>
      </c>
      <c r="G139" s="41">
        <f>G120+SUM(G135:G136)</f>
        <v>0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>
        <v>13697.9</v>
      </c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10930.2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7419.4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/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9892.98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16437.439999999999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16437.439999999999</v>
      </c>
      <c r="G161" s="41">
        <f>SUM(G149:G160)</f>
        <v>0</v>
      </c>
      <c r="H161" s="41">
        <f>SUM(H149:H160)</f>
        <v>41940.479999999996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16437.439999999999</v>
      </c>
      <c r="G168" s="41">
        <f>G146+G161+SUM(G162:G167)</f>
        <v>0</v>
      </c>
      <c r="H168" s="41">
        <f>H146+H161+SUM(H162:H167)</f>
        <v>41940.479999999996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2425.75</v>
      </c>
      <c r="H178" s="18"/>
      <c r="I178" s="18"/>
      <c r="J178" s="18">
        <f>9510.03+25000</f>
        <v>34510.03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2425.75</v>
      </c>
      <c r="H182" s="41">
        <f>SUM(H178:H181)</f>
        <v>0</v>
      </c>
      <c r="I182" s="41">
        <f>SUM(I178:I181)</f>
        <v>0</v>
      </c>
      <c r="J182" s="41">
        <f>SUM(J178:J181)</f>
        <v>34510.03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2425.75</v>
      </c>
      <c r="H191" s="41">
        <f>+H182+SUM(H187:H190)</f>
        <v>0</v>
      </c>
      <c r="I191" s="41">
        <f>I176+I182+SUM(I187:I190)</f>
        <v>0</v>
      </c>
      <c r="J191" s="41">
        <f>J182</f>
        <v>34510.03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1709808.98</v>
      </c>
      <c r="G192" s="47">
        <f>G111+G139+G168+G191</f>
        <v>2425.75</v>
      </c>
      <c r="H192" s="47">
        <f>H111+H139+H168+H191</f>
        <v>41940.479999999996</v>
      </c>
      <c r="I192" s="47">
        <f>I111+I139+I168+I191</f>
        <v>0</v>
      </c>
      <c r="J192" s="47">
        <f>J111+J139+J191</f>
        <v>34719.06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148424.18</v>
      </c>
      <c r="G196" s="18">
        <v>78101.22</v>
      </c>
      <c r="H196" s="18">
        <v>11865.61</v>
      </c>
      <c r="I196" s="18">
        <v>8302.9699999999993</v>
      </c>
      <c r="J196" s="18"/>
      <c r="K196" s="18">
        <v>500</v>
      </c>
      <c r="L196" s="19">
        <f>SUM(F196:K196)</f>
        <v>247193.98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62800.47</v>
      </c>
      <c r="G197" s="18">
        <v>30573.71</v>
      </c>
      <c r="H197" s="18">
        <v>72850.53</v>
      </c>
      <c r="I197" s="18">
        <v>441.37</v>
      </c>
      <c r="J197" s="18"/>
      <c r="K197" s="18"/>
      <c r="L197" s="19">
        <f>SUM(F197:K197)</f>
        <v>166666.07999999999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540</v>
      </c>
      <c r="G199" s="18">
        <v>104.22</v>
      </c>
      <c r="H199" s="18"/>
      <c r="I199" s="18"/>
      <c r="J199" s="18"/>
      <c r="K199" s="18"/>
      <c r="L199" s="19">
        <f>SUM(F199:K199)</f>
        <v>644.22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4474.6000000000004</v>
      </c>
      <c r="G201" s="18">
        <v>358.02</v>
      </c>
      <c r="H201" s="18">
        <f>50+12361.99+18168.75+6230.25+17504.49+3994.25</f>
        <v>58309.729999999996</v>
      </c>
      <c r="I201" s="18">
        <f>146.72+61.57</f>
        <v>208.29</v>
      </c>
      <c r="J201" s="18"/>
      <c r="K201" s="18"/>
      <c r="L201" s="19">
        <f t="shared" ref="L201:L207" si="0">SUM(F201:K201)</f>
        <v>63350.64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7999.68</v>
      </c>
      <c r="G202" s="18">
        <v>640.12</v>
      </c>
      <c r="H202" s="18">
        <f>1187+4637.7</f>
        <v>5824.7</v>
      </c>
      <c r="I202" s="18">
        <v>988.94</v>
      </c>
      <c r="J202" s="18"/>
      <c r="K202" s="18"/>
      <c r="L202" s="19">
        <f t="shared" si="0"/>
        <v>15453.44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f>2583.5+1750</f>
        <v>4333.5</v>
      </c>
      <c r="G203" s="18">
        <f>218.72+136.94+3000</f>
        <v>3355.66</v>
      </c>
      <c r="H203" s="18">
        <f>170.01+50+5500+50+51197</f>
        <v>56967.01</v>
      </c>
      <c r="I203" s="18">
        <v>137.4</v>
      </c>
      <c r="J203" s="18"/>
      <c r="K203" s="18"/>
      <c r="L203" s="19">
        <f t="shared" si="0"/>
        <v>64793.57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77913.88</v>
      </c>
      <c r="G204" s="18">
        <v>20729.46</v>
      </c>
      <c r="H204" s="18">
        <v>10312.450000000001</v>
      </c>
      <c r="I204" s="18">
        <v>627.41</v>
      </c>
      <c r="J204" s="18">
        <v>474.96</v>
      </c>
      <c r="K204" s="18"/>
      <c r="L204" s="19">
        <f t="shared" si="0"/>
        <v>110058.16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15823.21</v>
      </c>
      <c r="G206" s="18">
        <v>1503.98</v>
      </c>
      <c r="H206" s="18">
        <v>9340.0400000000009</v>
      </c>
      <c r="I206" s="18">
        <v>19748.43</v>
      </c>
      <c r="J206" s="18">
        <v>640</v>
      </c>
      <c r="K206" s="18"/>
      <c r="L206" s="19">
        <f t="shared" si="0"/>
        <v>47055.66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f>34949.33+21805.18</f>
        <v>56754.51</v>
      </c>
      <c r="I207" s="18"/>
      <c r="J207" s="18"/>
      <c r="K207" s="18"/>
      <c r="L207" s="19">
        <f t="shared" si="0"/>
        <v>56754.51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>
        <v>2.25</v>
      </c>
      <c r="H208" s="18">
        <v>151.5</v>
      </c>
      <c r="I208" s="18"/>
      <c r="J208" s="18"/>
      <c r="K208" s="18"/>
      <c r="L208" s="19">
        <f>SUM(F208:K208)</f>
        <v>153.75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322309.52</v>
      </c>
      <c r="G210" s="41">
        <f t="shared" si="1"/>
        <v>135368.64000000001</v>
      </c>
      <c r="H210" s="41">
        <f t="shared" si="1"/>
        <v>282376.08</v>
      </c>
      <c r="I210" s="41">
        <f t="shared" si="1"/>
        <v>30454.81</v>
      </c>
      <c r="J210" s="41">
        <f t="shared" si="1"/>
        <v>1114.96</v>
      </c>
      <c r="K210" s="41">
        <f t="shared" si="1"/>
        <v>500</v>
      </c>
      <c r="L210" s="41">
        <f t="shared" si="1"/>
        <v>772124.01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>
        <v>205578.69</v>
      </c>
      <c r="I214" s="18"/>
      <c r="J214" s="18"/>
      <c r="K214" s="18"/>
      <c r="L214" s="19">
        <f>SUM(F214:K214)</f>
        <v>205578.69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>
        <v>12005.41</v>
      </c>
      <c r="I215" s="18"/>
      <c r="J215" s="18"/>
      <c r="K215" s="18"/>
      <c r="L215" s="19">
        <f>SUM(F215:K215)</f>
        <v>12005.41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v>9531.09</v>
      </c>
      <c r="I225" s="18"/>
      <c r="J225" s="18"/>
      <c r="K225" s="18"/>
      <c r="L225" s="19">
        <f t="shared" si="2"/>
        <v>9531.09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227115.19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227115.19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v>270124.84999999998</v>
      </c>
      <c r="I232" s="18"/>
      <c r="J232" s="18"/>
      <c r="K232" s="18"/>
      <c r="L232" s="19">
        <f>SUM(F232:K232)</f>
        <v>270124.84999999998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>
        <v>227692.53</v>
      </c>
      <c r="I233" s="18"/>
      <c r="J233" s="18"/>
      <c r="K233" s="18"/>
      <c r="L233" s="19">
        <f>SUM(F233:K233)</f>
        <v>227692.53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19063.18</v>
      </c>
      <c r="I243" s="18"/>
      <c r="J243" s="18"/>
      <c r="K243" s="18"/>
      <c r="L243" s="19">
        <f t="shared" si="4"/>
        <v>19063.18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516880.56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516880.56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322309.52</v>
      </c>
      <c r="G256" s="41">
        <f t="shared" si="8"/>
        <v>135368.64000000001</v>
      </c>
      <c r="H256" s="41">
        <f t="shared" si="8"/>
        <v>1026371.8300000001</v>
      </c>
      <c r="I256" s="41">
        <f t="shared" si="8"/>
        <v>30454.81</v>
      </c>
      <c r="J256" s="41">
        <f t="shared" si="8"/>
        <v>1114.96</v>
      </c>
      <c r="K256" s="41">
        <f t="shared" si="8"/>
        <v>500</v>
      </c>
      <c r="L256" s="41">
        <f t="shared" si="8"/>
        <v>1516119.76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/>
      <c r="L259" s="19">
        <f>SUM(F259:K259)</f>
        <v>0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2425.75</v>
      </c>
      <c r="L262" s="19">
        <f>SUM(F262:K262)</f>
        <v>2425.75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f>9510.03+25000</f>
        <v>34510.03</v>
      </c>
      <c r="L265" s="19">
        <f t="shared" si="9"/>
        <v>34510.03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36935.78</v>
      </c>
      <c r="L269" s="41">
        <f t="shared" si="9"/>
        <v>36935.78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322309.52</v>
      </c>
      <c r="G270" s="42">
        <f t="shared" si="11"/>
        <v>135368.64000000001</v>
      </c>
      <c r="H270" s="42">
        <f t="shared" si="11"/>
        <v>1026371.8300000001</v>
      </c>
      <c r="I270" s="42">
        <f t="shared" si="11"/>
        <v>30454.81</v>
      </c>
      <c r="J270" s="42">
        <f t="shared" si="11"/>
        <v>1114.96</v>
      </c>
      <c r="K270" s="42">
        <f t="shared" si="11"/>
        <v>37435.78</v>
      </c>
      <c r="L270" s="42">
        <f t="shared" si="11"/>
        <v>1553055.54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3487.35</v>
      </c>
      <c r="G275" s="18">
        <f>266.79+12.19</f>
        <v>278.98</v>
      </c>
      <c r="H275" s="18"/>
      <c r="I275" s="18">
        <f>338.05+199.08+3437.9</f>
        <v>3975.03</v>
      </c>
      <c r="J275" s="18">
        <f>1949.54+5108.46+4437+3202+4100</f>
        <v>18797</v>
      </c>
      <c r="K275" s="18"/>
      <c r="L275" s="19">
        <f>SUM(F275:K275)</f>
        <v>26538.36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>
        <v>940</v>
      </c>
      <c r="I276" s="18"/>
      <c r="J276" s="18"/>
      <c r="K276" s="18"/>
      <c r="L276" s="19">
        <f>SUM(F276:K276)</f>
        <v>940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>
        <f>93.18+139.78</f>
        <v>232.96</v>
      </c>
      <c r="J280" s="18"/>
      <c r="K280" s="18"/>
      <c r="L280" s="19">
        <f t="shared" ref="L280:L286" si="12">SUM(F280:K280)</f>
        <v>232.96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2000</v>
      </c>
      <c r="G281" s="18">
        <f>153+169.5+7</f>
        <v>329.5</v>
      </c>
      <c r="H281" s="18">
        <f>6000+4500</f>
        <v>10500</v>
      </c>
      <c r="I281" s="18"/>
      <c r="J281" s="18"/>
      <c r="K281" s="18"/>
      <c r="L281" s="19">
        <f t="shared" si="12"/>
        <v>12829.5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>
        <v>512</v>
      </c>
      <c r="I282" s="18"/>
      <c r="J282" s="18"/>
      <c r="K282" s="18"/>
      <c r="L282" s="19">
        <f t="shared" si="12"/>
        <v>512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>
        <v>887.66</v>
      </c>
      <c r="L284" s="19">
        <f t="shared" si="12"/>
        <v>887.66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5487.35</v>
      </c>
      <c r="G289" s="42">
        <f t="shared" si="13"/>
        <v>608.48</v>
      </c>
      <c r="H289" s="42">
        <f t="shared" si="13"/>
        <v>11952</v>
      </c>
      <c r="I289" s="42">
        <f t="shared" si="13"/>
        <v>4207.99</v>
      </c>
      <c r="J289" s="42">
        <f t="shared" si="13"/>
        <v>18797</v>
      </c>
      <c r="K289" s="42">
        <f t="shared" si="13"/>
        <v>887.66</v>
      </c>
      <c r="L289" s="41">
        <f t="shared" si="13"/>
        <v>41940.480000000003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5487.35</v>
      </c>
      <c r="G337" s="41">
        <f t="shared" si="20"/>
        <v>608.48</v>
      </c>
      <c r="H337" s="41">
        <f t="shared" si="20"/>
        <v>11952</v>
      </c>
      <c r="I337" s="41">
        <f t="shared" si="20"/>
        <v>4207.99</v>
      </c>
      <c r="J337" s="41">
        <f t="shared" si="20"/>
        <v>18797</v>
      </c>
      <c r="K337" s="41">
        <f t="shared" si="20"/>
        <v>887.66</v>
      </c>
      <c r="L337" s="41">
        <f t="shared" si="20"/>
        <v>41940.480000000003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5487.35</v>
      </c>
      <c r="G351" s="41">
        <f>G337</f>
        <v>608.48</v>
      </c>
      <c r="H351" s="41">
        <f>H337</f>
        <v>11952</v>
      </c>
      <c r="I351" s="41">
        <f>I337</f>
        <v>4207.99</v>
      </c>
      <c r="J351" s="41">
        <f>J337</f>
        <v>18797</v>
      </c>
      <c r="K351" s="47">
        <f>K337+K350</f>
        <v>887.66</v>
      </c>
      <c r="L351" s="41">
        <f>L337+L350</f>
        <v>41940.480000000003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/>
      <c r="G357" s="18"/>
      <c r="H357" s="18">
        <v>2418.96</v>
      </c>
      <c r="I357" s="18">
        <v>6.79</v>
      </c>
      <c r="J357" s="18"/>
      <c r="K357" s="18"/>
      <c r="L357" s="13">
        <f>SUM(F357:K357)</f>
        <v>2425.75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0</v>
      </c>
      <c r="G361" s="47">
        <f t="shared" si="22"/>
        <v>0</v>
      </c>
      <c r="H361" s="47">
        <f t="shared" si="22"/>
        <v>2418.96</v>
      </c>
      <c r="I361" s="47">
        <f t="shared" si="22"/>
        <v>6.79</v>
      </c>
      <c r="J361" s="47">
        <f t="shared" si="22"/>
        <v>0</v>
      </c>
      <c r="K361" s="47">
        <f t="shared" si="22"/>
        <v>0</v>
      </c>
      <c r="L361" s="47">
        <f t="shared" si="22"/>
        <v>2425.75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/>
      <c r="G366" s="18"/>
      <c r="H366" s="18"/>
      <c r="I366" s="56">
        <f>SUM(F366:H366)</f>
        <v>0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6.79</v>
      </c>
      <c r="G367" s="63"/>
      <c r="H367" s="63"/>
      <c r="I367" s="56">
        <f>SUM(F367:H367)</f>
        <v>6.79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6.79</v>
      </c>
      <c r="G368" s="47">
        <f>SUM(G366:G367)</f>
        <v>0</v>
      </c>
      <c r="H368" s="47">
        <f>SUM(H366:H367)</f>
        <v>0</v>
      </c>
      <c r="I368" s="47">
        <f>SUM(I366:I367)</f>
        <v>6.79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>
        <v>9510.0300000000007</v>
      </c>
      <c r="H388" s="18">
        <v>50.19</v>
      </c>
      <c r="I388" s="18"/>
      <c r="J388" s="24" t="s">
        <v>289</v>
      </c>
      <c r="K388" s="24" t="s">
        <v>289</v>
      </c>
      <c r="L388" s="56">
        <f t="shared" si="25"/>
        <v>9560.2200000000012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9510.0300000000007</v>
      </c>
      <c r="H392" s="139">
        <f>SUM(H386:H391)</f>
        <v>50.19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9560.2200000000012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>
        <v>146.38999999999999</v>
      </c>
      <c r="I397" s="18"/>
      <c r="J397" s="24" t="s">
        <v>289</v>
      </c>
      <c r="K397" s="24" t="s">
        <v>289</v>
      </c>
      <c r="L397" s="56">
        <f t="shared" si="26"/>
        <v>146.38999999999999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>
        <v>25000</v>
      </c>
      <c r="H399" s="18">
        <v>12.45</v>
      </c>
      <c r="I399" s="18"/>
      <c r="J399" s="24" t="s">
        <v>289</v>
      </c>
      <c r="K399" s="24" t="s">
        <v>289</v>
      </c>
      <c r="L399" s="56">
        <f t="shared" si="26"/>
        <v>25012.45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25000</v>
      </c>
      <c r="H400" s="47">
        <f>SUM(H394:H399)</f>
        <v>158.83999999999997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25158.84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34510.03</v>
      </c>
      <c r="H407" s="47">
        <f>H392+H400+H406</f>
        <v>209.02999999999997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34719.06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>
        <v>75033.570000000007</v>
      </c>
      <c r="G439" s="18">
        <f>210967.62+25012.45</f>
        <v>235980.07</v>
      </c>
      <c r="H439" s="18"/>
      <c r="I439" s="56">
        <f t="shared" si="33"/>
        <v>311013.64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75033.570000000007</v>
      </c>
      <c r="G445" s="13">
        <f>SUM(G438:G444)</f>
        <v>235980.07</v>
      </c>
      <c r="H445" s="13">
        <f>SUM(H438:H444)</f>
        <v>0</v>
      </c>
      <c r="I445" s="13">
        <f>SUM(I438:I444)</f>
        <v>311013.64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75033.570000000007</v>
      </c>
      <c r="G458" s="18">
        <f>210967.62+25012.45</f>
        <v>235980.07</v>
      </c>
      <c r="H458" s="18"/>
      <c r="I458" s="56">
        <f t="shared" si="34"/>
        <v>311013.64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75033.570000000007</v>
      </c>
      <c r="G459" s="83">
        <f>SUM(G453:G458)</f>
        <v>235980.07</v>
      </c>
      <c r="H459" s="83">
        <f>SUM(H453:H458)</f>
        <v>0</v>
      </c>
      <c r="I459" s="83">
        <f>SUM(I453:I458)</f>
        <v>311013.64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75033.570000000007</v>
      </c>
      <c r="G460" s="42">
        <f>G451+G459</f>
        <v>235980.07</v>
      </c>
      <c r="H460" s="42">
        <f>H451+H459</f>
        <v>0</v>
      </c>
      <c r="I460" s="42">
        <f>I451+I459</f>
        <v>311013.64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9510.0300000000007</v>
      </c>
      <c r="G464" s="18">
        <v>0</v>
      </c>
      <c r="H464" s="18">
        <v>0</v>
      </c>
      <c r="I464" s="18"/>
      <c r="J464" s="18">
        <v>276294.58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1709808.98</v>
      </c>
      <c r="G467" s="18">
        <v>2425.75</v>
      </c>
      <c r="H467" s="18">
        <v>41940.480000000003</v>
      </c>
      <c r="I467" s="18"/>
      <c r="J467" s="18">
        <f>9510.03+25000+146.39+50.19+12.45</f>
        <v>34719.06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1709808.98</v>
      </c>
      <c r="G469" s="53">
        <f>SUM(G467:G468)</f>
        <v>2425.75</v>
      </c>
      <c r="H469" s="53">
        <f>SUM(H467:H468)</f>
        <v>41940.480000000003</v>
      </c>
      <c r="I469" s="53">
        <f>SUM(I467:I468)</f>
        <v>0</v>
      </c>
      <c r="J469" s="53">
        <f>SUM(J467:J468)</f>
        <v>34719.06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1553055.54</v>
      </c>
      <c r="G471" s="18">
        <v>2425.75</v>
      </c>
      <c r="H471" s="18">
        <v>41940.480000000003</v>
      </c>
      <c r="I471" s="18"/>
      <c r="J471" s="18"/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1553055.54</v>
      </c>
      <c r="G473" s="53">
        <f>SUM(G471:G472)</f>
        <v>2425.75</v>
      </c>
      <c r="H473" s="53">
        <f>SUM(H471:H472)</f>
        <v>41940.480000000003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166263.46999999997</v>
      </c>
      <c r="G475" s="53">
        <f>(G464+G469)- G473</f>
        <v>0</v>
      </c>
      <c r="H475" s="53">
        <f>(H464+H469)- H473</f>
        <v>0</v>
      </c>
      <c r="I475" s="53">
        <f>(I464+I469)- I473</f>
        <v>0</v>
      </c>
      <c r="J475" s="53">
        <f>(J464+J469)- J473</f>
        <v>311013.64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/>
      <c r="G497" s="204"/>
      <c r="H497" s="204"/>
      <c r="I497" s="204"/>
      <c r="J497" s="204"/>
      <c r="K497" s="205">
        <f t="shared" si="35"/>
        <v>0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/>
      <c r="G500" s="204"/>
      <c r="H500" s="204"/>
      <c r="I500" s="204"/>
      <c r="J500" s="204"/>
      <c r="K500" s="205">
        <f t="shared" si="35"/>
        <v>0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35259.08+27541.39</f>
        <v>62800.47</v>
      </c>
      <c r="G520" s="18">
        <f>20006.8+1416.2+62.7+129.48+4754.36+3984.36+219.81</f>
        <v>30573.710000000003</v>
      </c>
      <c r="H520" s="18">
        <f>90+61970.53+10790+940</f>
        <v>73790.53</v>
      </c>
      <c r="I520" s="18">
        <f>384.87+56.5</f>
        <v>441.37</v>
      </c>
      <c r="J520" s="18"/>
      <c r="K520" s="18"/>
      <c r="L520" s="88">
        <f>SUM(F520:K520)</f>
        <v>167606.08000000002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>
        <v>12005.41</v>
      </c>
      <c r="I521" s="18"/>
      <c r="J521" s="18"/>
      <c r="K521" s="18"/>
      <c r="L521" s="88">
        <f>SUM(F521:K521)</f>
        <v>12005.41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>
        <v>227692.53</v>
      </c>
      <c r="I522" s="18"/>
      <c r="J522" s="18"/>
      <c r="K522" s="18"/>
      <c r="L522" s="88">
        <f>SUM(F522:K522)</f>
        <v>227692.53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62800.47</v>
      </c>
      <c r="G523" s="108">
        <f t="shared" ref="G523:L523" si="36">SUM(G520:G522)</f>
        <v>30573.710000000003</v>
      </c>
      <c r="H523" s="108">
        <f t="shared" si="36"/>
        <v>313488.46999999997</v>
      </c>
      <c r="I523" s="108">
        <f t="shared" si="36"/>
        <v>441.37</v>
      </c>
      <c r="J523" s="108">
        <f t="shared" si="36"/>
        <v>0</v>
      </c>
      <c r="K523" s="108">
        <f t="shared" si="36"/>
        <v>0</v>
      </c>
      <c r="L523" s="89">
        <f t="shared" si="36"/>
        <v>407304.02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>
        <f>945.38+6230.25+17504.49+3994.25+4500+4637.7</f>
        <v>37812.07</v>
      </c>
      <c r="I525" s="18"/>
      <c r="J525" s="18"/>
      <c r="K525" s="18"/>
      <c r="L525" s="88">
        <f>SUM(F525:K525)</f>
        <v>37812.07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37812.07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37812.07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>
        <v>5212</v>
      </c>
      <c r="I530" s="18"/>
      <c r="J530" s="18"/>
      <c r="K530" s="18">
        <v>352.98</v>
      </c>
      <c r="L530" s="88">
        <f>SUM(F530:K530)</f>
        <v>5564.98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0</v>
      </c>
      <c r="G533" s="89">
        <f t="shared" ref="G533:L533" si="38">SUM(G530:G532)</f>
        <v>0</v>
      </c>
      <c r="H533" s="89">
        <f t="shared" si="38"/>
        <v>5212</v>
      </c>
      <c r="I533" s="89">
        <f t="shared" si="38"/>
        <v>0</v>
      </c>
      <c r="J533" s="89">
        <f t="shared" si="38"/>
        <v>0</v>
      </c>
      <c r="K533" s="89">
        <f t="shared" si="38"/>
        <v>352.98</v>
      </c>
      <c r="L533" s="89">
        <f t="shared" si="38"/>
        <v>5564.98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f>21805.18</f>
        <v>21805.18</v>
      </c>
      <c r="I540" s="18"/>
      <c r="J540" s="18"/>
      <c r="K540" s="18"/>
      <c r="L540" s="88">
        <f>SUM(F540:K540)</f>
        <v>21805.18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21805.18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21805.18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62800.47</v>
      </c>
      <c r="G544" s="89">
        <f t="shared" ref="G544:L544" si="41">G523+G528+G533+G538+G543</f>
        <v>30573.710000000003</v>
      </c>
      <c r="H544" s="89">
        <f t="shared" si="41"/>
        <v>378317.72</v>
      </c>
      <c r="I544" s="89">
        <f t="shared" si="41"/>
        <v>441.37</v>
      </c>
      <c r="J544" s="89">
        <f t="shared" si="41"/>
        <v>0</v>
      </c>
      <c r="K544" s="89">
        <f t="shared" si="41"/>
        <v>352.98</v>
      </c>
      <c r="L544" s="89">
        <f t="shared" si="41"/>
        <v>472486.25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167606.08000000002</v>
      </c>
      <c r="G548" s="87">
        <f>L525</f>
        <v>37812.07</v>
      </c>
      <c r="H548" s="87">
        <f>L530</f>
        <v>5564.98</v>
      </c>
      <c r="I548" s="87">
        <f>L535</f>
        <v>0</v>
      </c>
      <c r="J548" s="87">
        <f>L540</f>
        <v>21805.18</v>
      </c>
      <c r="K548" s="87">
        <f>SUM(F548:J548)</f>
        <v>232788.31000000003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12005.41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12005.41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227692.53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227692.53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407304.02</v>
      </c>
      <c r="G551" s="89">
        <f t="shared" si="42"/>
        <v>37812.07</v>
      </c>
      <c r="H551" s="89">
        <f t="shared" si="42"/>
        <v>5564.98</v>
      </c>
      <c r="I551" s="89">
        <f t="shared" si="42"/>
        <v>0</v>
      </c>
      <c r="J551" s="89">
        <f t="shared" si="42"/>
        <v>21805.18</v>
      </c>
      <c r="K551" s="89">
        <f t="shared" si="42"/>
        <v>472486.25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>
        <v>205578.69</v>
      </c>
      <c r="H574" s="18">
        <v>270124.84999999998</v>
      </c>
      <c r="I574" s="87">
        <f>SUM(F574:H574)</f>
        <v>475703.54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f>90+10790</f>
        <v>10880</v>
      </c>
      <c r="G578" s="18">
        <v>12005.41</v>
      </c>
      <c r="H578" s="18">
        <v>180093</v>
      </c>
      <c r="I578" s="87">
        <f t="shared" si="47"/>
        <v>202978.41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>
        <v>61970.53</v>
      </c>
      <c r="G579" s="18"/>
      <c r="H579" s="18"/>
      <c r="I579" s="87">
        <f t="shared" si="47"/>
        <v>61970.53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940</v>
      </c>
      <c r="G581" s="18"/>
      <c r="H581" s="18">
        <v>47599.53</v>
      </c>
      <c r="I581" s="87">
        <f t="shared" si="47"/>
        <v>48539.53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34949.33</v>
      </c>
      <c r="I590" s="18">
        <v>9531.09</v>
      </c>
      <c r="J590" s="18">
        <v>19063.18</v>
      </c>
      <c r="K590" s="104">
        <f t="shared" ref="K590:K596" si="48">SUM(H590:J590)</f>
        <v>63543.6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21805.18</v>
      </c>
      <c r="I591" s="18"/>
      <c r="J591" s="18"/>
      <c r="K591" s="104">
        <f t="shared" si="48"/>
        <v>21805.18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56754.51</v>
      </c>
      <c r="I597" s="108">
        <f>SUM(I590:I596)</f>
        <v>9531.09</v>
      </c>
      <c r="J597" s="108">
        <f>SUM(J590:J596)</f>
        <v>19063.18</v>
      </c>
      <c r="K597" s="108">
        <f>SUM(K590:K596)</f>
        <v>85348.78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19911.96</v>
      </c>
      <c r="I603" s="18"/>
      <c r="J603" s="18"/>
      <c r="K603" s="104">
        <f>SUM(H603:J603)</f>
        <v>19911.96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19911.96</v>
      </c>
      <c r="I604" s="108">
        <f>SUM(I601:I603)</f>
        <v>0</v>
      </c>
      <c r="J604" s="108">
        <f>SUM(J601:J603)</f>
        <v>0</v>
      </c>
      <c r="K604" s="108">
        <f>SUM(K601:K603)</f>
        <v>19911.96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540</v>
      </c>
      <c r="G610" s="18">
        <f>41.31+61.02+1.89</f>
        <v>104.22000000000001</v>
      </c>
      <c r="H610" s="18"/>
      <c r="I610" s="18"/>
      <c r="J610" s="18"/>
      <c r="K610" s="18"/>
      <c r="L610" s="88">
        <f>SUM(F610:K610)</f>
        <v>644.22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540</v>
      </c>
      <c r="G613" s="108">
        <f t="shared" si="49"/>
        <v>104.22000000000001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644.22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185638.63</v>
      </c>
      <c r="H616" s="109">
        <f>SUM(F51)</f>
        <v>185638.63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0</v>
      </c>
      <c r="H617" s="109">
        <f>SUM(G51)</f>
        <v>0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10541.3</v>
      </c>
      <c r="H618" s="109">
        <f>SUM(H51)</f>
        <v>10541.3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311013.64</v>
      </c>
      <c r="H620" s="109">
        <f>SUM(J51)</f>
        <v>311013.64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166263.47</v>
      </c>
      <c r="H621" s="109">
        <f>F475</f>
        <v>166263.46999999997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311013.64</v>
      </c>
      <c r="H625" s="109">
        <f>J475</f>
        <v>311013.64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1709808.98</v>
      </c>
      <c r="H626" s="104">
        <f>SUM(F467)</f>
        <v>1709808.98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2425.75</v>
      </c>
      <c r="H627" s="104">
        <f>SUM(G467)</f>
        <v>2425.75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41940.479999999996</v>
      </c>
      <c r="H628" s="104">
        <f>SUM(H467)</f>
        <v>41940.480000000003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34719.06</v>
      </c>
      <c r="H630" s="104">
        <f>SUM(J467)</f>
        <v>34719.06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1553055.54</v>
      </c>
      <c r="H631" s="104">
        <f>SUM(F471)</f>
        <v>1553055.54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41940.480000000003</v>
      </c>
      <c r="H632" s="104">
        <f>SUM(H471)</f>
        <v>41940.480000000003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6.79</v>
      </c>
      <c r="H633" s="104">
        <f>I368</f>
        <v>6.79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2425.75</v>
      </c>
      <c r="H634" s="104">
        <f>SUM(G471)</f>
        <v>2425.75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34719.06</v>
      </c>
      <c r="H636" s="164">
        <f>SUM(J467)</f>
        <v>34719.06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75033.570000000007</v>
      </c>
      <c r="H638" s="104">
        <f>SUM(F460)</f>
        <v>75033.570000000007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235980.07</v>
      </c>
      <c r="H639" s="104">
        <f>SUM(G460)</f>
        <v>235980.07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311013.64</v>
      </c>
      <c r="H641" s="104">
        <f>SUM(I460)</f>
        <v>311013.64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209.02999999999997</v>
      </c>
      <c r="H643" s="104">
        <f>H407</f>
        <v>209.02999999999997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34510.03</v>
      </c>
      <c r="H644" s="104">
        <f>G407</f>
        <v>34510.03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34719.06</v>
      </c>
      <c r="H645" s="104">
        <f>L407</f>
        <v>34719.06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85348.78</v>
      </c>
      <c r="H646" s="104">
        <f>L207+L225+L243</f>
        <v>85348.78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19911.96</v>
      </c>
      <c r="H647" s="104">
        <f>(J256+J337)-(J254+J335)</f>
        <v>19911.96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56754.51</v>
      </c>
      <c r="H648" s="104">
        <f>H597</f>
        <v>56754.51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9531.09</v>
      </c>
      <c r="H649" s="104">
        <f>I597</f>
        <v>9531.09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19063.18</v>
      </c>
      <c r="H650" s="104">
        <f>J597</f>
        <v>19063.18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2425.75</v>
      </c>
      <c r="H651" s="104">
        <f>K262+K344</f>
        <v>2425.75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34510.03</v>
      </c>
      <c r="H654" s="104">
        <f>K265+K346</f>
        <v>34510.03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816490.24</v>
      </c>
      <c r="G659" s="19">
        <f>(L228+L308+L358)</f>
        <v>227115.19</v>
      </c>
      <c r="H659" s="19">
        <f>(L246+L327+L359)</f>
        <v>516880.56</v>
      </c>
      <c r="I659" s="19">
        <f>SUM(F659:H659)</f>
        <v>1560485.99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0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0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56754.51</v>
      </c>
      <c r="G661" s="19">
        <f>(L225+L305)-(J225+J305)</f>
        <v>9531.09</v>
      </c>
      <c r="H661" s="19">
        <f>(L243+L324)-(J243+J324)</f>
        <v>19063.18</v>
      </c>
      <c r="I661" s="19">
        <f>SUM(F661:H661)</f>
        <v>85348.78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94346.709999999992</v>
      </c>
      <c r="G662" s="199">
        <f>SUM(G574:G586)+SUM(I601:I603)+L611</f>
        <v>217584.1</v>
      </c>
      <c r="H662" s="199">
        <f>SUM(H574:H586)+SUM(J601:J603)+L612</f>
        <v>497817.38</v>
      </c>
      <c r="I662" s="19">
        <f>SUM(F662:H662)</f>
        <v>809748.19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665389.02</v>
      </c>
      <c r="G663" s="19">
        <f>G659-SUM(G660:G662)</f>
        <v>0</v>
      </c>
      <c r="H663" s="19">
        <f>H659-SUM(H660:H662)</f>
        <v>0</v>
      </c>
      <c r="I663" s="19">
        <f>I659-SUM(I660:I662)</f>
        <v>665389.02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37.659999999999997</v>
      </c>
      <c r="G664" s="248"/>
      <c r="H664" s="248"/>
      <c r="I664" s="19">
        <f>SUM(F664:H664)</f>
        <v>37.659999999999997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17668.32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17668.32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17668.32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17668.32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MARLOW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151911.53</v>
      </c>
      <c r="C9" s="229">
        <f>'DOE25'!G196+'DOE25'!G214+'DOE25'!G232+'DOE25'!G275+'DOE25'!G294+'DOE25'!G313</f>
        <v>78380.2</v>
      </c>
    </row>
    <row r="10" spans="1:3" x14ac:dyDescent="0.2">
      <c r="A10" t="s">
        <v>779</v>
      </c>
      <c r="B10" s="240">
        <v>149353.60999999999</v>
      </c>
      <c r="C10" s="240">
        <v>78380.2</v>
      </c>
    </row>
    <row r="11" spans="1:3" x14ac:dyDescent="0.2">
      <c r="A11" t="s">
        <v>780</v>
      </c>
      <c r="B11" s="240"/>
      <c r="C11" s="240"/>
    </row>
    <row r="12" spans="1:3" x14ac:dyDescent="0.2">
      <c r="A12" t="s">
        <v>781</v>
      </c>
      <c r="B12" s="240">
        <v>2557.92</v>
      </c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151911.53</v>
      </c>
      <c r="C13" s="231">
        <f>SUM(C10:C12)</f>
        <v>78380.2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62800.47</v>
      </c>
      <c r="C18" s="229">
        <f>'DOE25'!G197+'DOE25'!G215+'DOE25'!G233+'DOE25'!G276+'DOE25'!G295+'DOE25'!G314</f>
        <v>30573.71</v>
      </c>
    </row>
    <row r="19" spans="1:3" x14ac:dyDescent="0.2">
      <c r="A19" t="s">
        <v>779</v>
      </c>
      <c r="B19" s="240">
        <v>35259.08</v>
      </c>
      <c r="C19" s="240">
        <v>17165.490000000002</v>
      </c>
    </row>
    <row r="20" spans="1:3" x14ac:dyDescent="0.2">
      <c r="A20" t="s">
        <v>780</v>
      </c>
      <c r="B20" s="240">
        <v>27541.39</v>
      </c>
      <c r="C20" s="240">
        <v>13408.22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62800.47</v>
      </c>
      <c r="C22" s="231">
        <f>SUM(C19:C21)</f>
        <v>30573.71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540</v>
      </c>
      <c r="C36" s="235">
        <f>'DOE25'!G199+'DOE25'!G217+'DOE25'!G235+'DOE25'!G278+'DOE25'!G297+'DOE25'!G316</f>
        <v>104.22</v>
      </c>
    </row>
    <row r="37" spans="1:3" x14ac:dyDescent="0.2">
      <c r="A37" t="s">
        <v>779</v>
      </c>
      <c r="B37" s="240">
        <v>540</v>
      </c>
      <c r="C37" s="240">
        <v>104.22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540</v>
      </c>
      <c r="C40" s="231">
        <f>SUM(C37:C39)</f>
        <v>104.22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MARLOW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1129905.76</v>
      </c>
      <c r="D5" s="20">
        <f>SUM('DOE25'!L196:L199)+SUM('DOE25'!L214:L217)+SUM('DOE25'!L232:L235)-F5-G5</f>
        <v>1129405.76</v>
      </c>
      <c r="E5" s="243"/>
      <c r="F5" s="255">
        <f>SUM('DOE25'!J196:J199)+SUM('DOE25'!J214:J217)+SUM('DOE25'!J232:J235)</f>
        <v>0</v>
      </c>
      <c r="G5" s="53">
        <f>SUM('DOE25'!K196:K199)+SUM('DOE25'!K214:K217)+SUM('DOE25'!K232:K235)</f>
        <v>500</v>
      </c>
      <c r="H5" s="259"/>
    </row>
    <row r="6" spans="1:9" x14ac:dyDescent="0.2">
      <c r="A6" s="32">
        <v>2100</v>
      </c>
      <c r="B6" t="s">
        <v>801</v>
      </c>
      <c r="C6" s="245">
        <f t="shared" si="0"/>
        <v>63350.64</v>
      </c>
      <c r="D6" s="20">
        <f>'DOE25'!L201+'DOE25'!L219+'DOE25'!L237-F6-G6</f>
        <v>63350.64</v>
      </c>
      <c r="E6" s="243"/>
      <c r="F6" s="255">
        <f>'DOE25'!J201+'DOE25'!J219+'DOE25'!J237</f>
        <v>0</v>
      </c>
      <c r="G6" s="53">
        <f>'DOE25'!K201+'DOE25'!K219+'DOE25'!K237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15453.44</v>
      </c>
      <c r="D7" s="20">
        <f>'DOE25'!L202+'DOE25'!L220+'DOE25'!L238-F7-G7</f>
        <v>15453.44</v>
      </c>
      <c r="E7" s="243"/>
      <c r="F7" s="255">
        <f>'DOE25'!J202+'DOE25'!J220+'DOE25'!J238</f>
        <v>0</v>
      </c>
      <c r="G7" s="53">
        <f>'DOE25'!K202+'DOE25'!K220+'DOE25'!K238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39532</v>
      </c>
      <c r="D8" s="243"/>
      <c r="E8" s="20">
        <f>'DOE25'!L203+'DOE25'!L221+'DOE25'!L239-F8-G8-D9-D11</f>
        <v>39532</v>
      </c>
      <c r="F8" s="255">
        <f>'DOE25'!J203+'DOE25'!J221+'DOE25'!J239</f>
        <v>0</v>
      </c>
      <c r="G8" s="53">
        <f>'DOE25'!K203+'DOE25'!K221+'DOE25'!K239</f>
        <v>0</v>
      </c>
      <c r="H8" s="259"/>
    </row>
    <row r="9" spans="1:9" x14ac:dyDescent="0.2">
      <c r="A9" s="32">
        <v>2310</v>
      </c>
      <c r="B9" t="s">
        <v>818</v>
      </c>
      <c r="C9" s="245">
        <f t="shared" si="0"/>
        <v>10596.57</v>
      </c>
      <c r="D9" s="244">
        <v>10596.57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5500</v>
      </c>
      <c r="D10" s="243"/>
      <c r="E10" s="244">
        <v>5500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14665</v>
      </c>
      <c r="D11" s="244">
        <v>14665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110058.16</v>
      </c>
      <c r="D12" s="20">
        <f>'DOE25'!L204+'DOE25'!L222+'DOE25'!L240-F12-G12</f>
        <v>109583.2</v>
      </c>
      <c r="E12" s="243"/>
      <c r="F12" s="255">
        <f>'DOE25'!J204+'DOE25'!J222+'DOE25'!J240</f>
        <v>474.96</v>
      </c>
      <c r="G12" s="53">
        <f>'DOE25'!K204+'DOE25'!K222+'DOE25'!K240</f>
        <v>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47055.66</v>
      </c>
      <c r="D14" s="20">
        <f>'DOE25'!L206+'DOE25'!L224+'DOE25'!L242-F14-G14</f>
        <v>46415.66</v>
      </c>
      <c r="E14" s="243"/>
      <c r="F14" s="255">
        <f>'DOE25'!J206+'DOE25'!J224+'DOE25'!J242</f>
        <v>640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85348.78</v>
      </c>
      <c r="D15" s="20">
        <f>'DOE25'!L207+'DOE25'!L225+'DOE25'!L243-F15-G15</f>
        <v>85348.78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153.75</v>
      </c>
      <c r="D16" s="243"/>
      <c r="E16" s="20">
        <f>'DOE25'!L208+'DOE25'!L226+'DOE25'!L244-F16-G16</f>
        <v>153.75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'DOE25'!L254+'DOE25'!L335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'DOE25'!L259+'DOE25'!L260+'DOE25'!L340+'DOE25'!L341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2425.75</v>
      </c>
      <c r="D29" s="20">
        <f>'DOE25'!L357+'DOE25'!L358+'DOE25'!L359-'DOE25'!I366-F29-G29</f>
        <v>2425.75</v>
      </c>
      <c r="E29" s="243"/>
      <c r="F29" s="255">
        <f>'DOE25'!J357+'DOE25'!J358+'DOE25'!J359</f>
        <v>0</v>
      </c>
      <c r="G29" s="53">
        <f>'DOE25'!K357+'DOE25'!K358+'DOE25'!K359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41940.48000000001</v>
      </c>
      <c r="D31" s="20">
        <f>'DOE25'!L289+'DOE25'!L308+'DOE25'!L327+'DOE25'!L332+'DOE25'!L333+'DOE25'!L334-F31-G31</f>
        <v>22255.820000000003</v>
      </c>
      <c r="E31" s="243"/>
      <c r="F31" s="255">
        <f>'DOE25'!J289+'DOE25'!J308+'DOE25'!J327+'DOE25'!J332+'DOE25'!J333+'DOE25'!J334</f>
        <v>18797</v>
      </c>
      <c r="G31" s="53">
        <f>'DOE25'!K289+'DOE25'!K308+'DOE25'!K327+'DOE25'!K332+'DOE25'!K333+'DOE25'!K334</f>
        <v>887.66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1499500.6199999999</v>
      </c>
      <c r="E33" s="246">
        <f>SUM(E5:E31)</f>
        <v>45185.75</v>
      </c>
      <c r="F33" s="246">
        <f>SUM(F5:F31)</f>
        <v>19911.96</v>
      </c>
      <c r="G33" s="246">
        <f>SUM(G5:G31)</f>
        <v>1387.6599999999999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45185.75</v>
      </c>
      <c r="E35" s="249"/>
    </row>
    <row r="36" spans="2:8" ht="12" thickTop="1" x14ac:dyDescent="0.2">
      <c r="B36" t="s">
        <v>815</v>
      </c>
      <c r="D36" s="20">
        <f>D33</f>
        <v>1499500.6199999999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MARLOW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167783.65000000002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311013.64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10541.3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3998.74</v>
      </c>
      <c r="D12" s="95">
        <f>'DOE25'!G13</f>
        <v>0</v>
      </c>
      <c r="E12" s="95">
        <f>'DOE25'!H13</f>
        <v>10541.3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3314.94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185638.63</v>
      </c>
      <c r="D18" s="41">
        <f>SUM(D8:D17)</f>
        <v>0</v>
      </c>
      <c r="E18" s="41">
        <f>SUM(E8:E17)</f>
        <v>10541.3</v>
      </c>
      <c r="F18" s="41">
        <f>SUM(F8:F17)</f>
        <v>0</v>
      </c>
      <c r="G18" s="41">
        <f>SUM(G8:G17)</f>
        <v>311013.64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10541.3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778.25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14574.71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4022.2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19375.16</v>
      </c>
      <c r="D31" s="41">
        <f>SUM(D21:D30)</f>
        <v>0</v>
      </c>
      <c r="E31" s="41">
        <f>SUM(E21:E30)</f>
        <v>10541.3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75000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311013.64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1700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89563.47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166263.47</v>
      </c>
      <c r="D49" s="41">
        <f>SUM(D34:D48)</f>
        <v>0</v>
      </c>
      <c r="E49" s="41">
        <f>SUM(E34:E48)</f>
        <v>0</v>
      </c>
      <c r="F49" s="41">
        <f>SUM(F34:F48)</f>
        <v>0</v>
      </c>
      <c r="G49" s="41">
        <f>SUM(G34:G48)</f>
        <v>311013.64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185638.63</v>
      </c>
      <c r="D50" s="41">
        <f>D49+D31</f>
        <v>0</v>
      </c>
      <c r="E50" s="41">
        <f>E49+E31</f>
        <v>10541.3</v>
      </c>
      <c r="F50" s="41">
        <f>F49+F31</f>
        <v>0</v>
      </c>
      <c r="G50" s="41">
        <f>G49+G31</f>
        <v>311013.64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928286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187.25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209.02999999999997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0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5867.7800000000007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6055.0300000000007</v>
      </c>
      <c r="D61" s="130">
        <f>SUM(D56:D60)</f>
        <v>0</v>
      </c>
      <c r="E61" s="130">
        <f>SUM(E56:E60)</f>
        <v>0</v>
      </c>
      <c r="F61" s="130">
        <f>SUM(F56:F60)</f>
        <v>0</v>
      </c>
      <c r="G61" s="130">
        <f>SUM(G56:G60)</f>
        <v>209.02999999999997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934341.03</v>
      </c>
      <c r="D62" s="22">
        <f>D55+D61</f>
        <v>0</v>
      </c>
      <c r="E62" s="22">
        <f>E55+E61</f>
        <v>0</v>
      </c>
      <c r="F62" s="22">
        <f>F55+F61</f>
        <v>0</v>
      </c>
      <c r="G62" s="22">
        <f>G55+G61</f>
        <v>209.02999999999997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580710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152541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733251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25779.51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0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25779.51</v>
      </c>
      <c r="D77" s="130">
        <f>SUM(D71:D76)</f>
        <v>0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759030.51</v>
      </c>
      <c r="D80" s="130">
        <f>SUM(D78:D79)+D77+D69</f>
        <v>0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13697.9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16437.439999999999</v>
      </c>
      <c r="D87" s="95">
        <f>SUM('DOE25'!G152:G160)</f>
        <v>0</v>
      </c>
      <c r="E87" s="95">
        <f>SUM('DOE25'!H152:H160)</f>
        <v>28242.579999999998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16437.439999999999</v>
      </c>
      <c r="D90" s="131">
        <f>SUM(D84:D89)</f>
        <v>0</v>
      </c>
      <c r="E90" s="131">
        <f>SUM(E84:E89)</f>
        <v>41940.479999999996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2425.75</v>
      </c>
      <c r="E95" s="95">
        <f>'DOE25'!H178</f>
        <v>0</v>
      </c>
      <c r="F95" s="95">
        <f>'DOE25'!I178</f>
        <v>0</v>
      </c>
      <c r="G95" s="95">
        <f>'DOE25'!J178</f>
        <v>34510.03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2425.75</v>
      </c>
      <c r="E102" s="86">
        <f>SUM(E92:E101)</f>
        <v>0</v>
      </c>
      <c r="F102" s="86">
        <f>SUM(F92:F101)</f>
        <v>0</v>
      </c>
      <c r="G102" s="86">
        <f>SUM(G92:G101)</f>
        <v>34510.03</v>
      </c>
    </row>
    <row r="103" spans="1:7" ht="12.75" thickTop="1" thickBot="1" x14ac:dyDescent="0.25">
      <c r="A103" s="33" t="s">
        <v>765</v>
      </c>
      <c r="C103" s="86">
        <f>C62+C80+C90+C102</f>
        <v>1709808.98</v>
      </c>
      <c r="D103" s="86">
        <f>D62+D80+D90+D102</f>
        <v>2425.75</v>
      </c>
      <c r="E103" s="86">
        <f>E62+E80+E90+E102</f>
        <v>41940.479999999996</v>
      </c>
      <c r="F103" s="86">
        <f>F62+F80+F90+F102</f>
        <v>0</v>
      </c>
      <c r="G103" s="86">
        <f>G62+G80+G102</f>
        <v>34719.06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722897.52</v>
      </c>
      <c r="D108" s="24" t="s">
        <v>289</v>
      </c>
      <c r="E108" s="95">
        <f>('DOE25'!L275)+('DOE25'!L294)+('DOE25'!L313)</f>
        <v>26538.36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406364.02</v>
      </c>
      <c r="D109" s="24" t="s">
        <v>289</v>
      </c>
      <c r="E109" s="95">
        <f>('DOE25'!L276)+('DOE25'!L295)+('DOE25'!L314)</f>
        <v>940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644.22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1129905.76</v>
      </c>
      <c r="D114" s="86">
        <f>SUM(D108:D113)</f>
        <v>0</v>
      </c>
      <c r="E114" s="86">
        <f>SUM(E108:E113)</f>
        <v>27478.36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63350.64</v>
      </c>
      <c r="D117" s="24" t="s">
        <v>289</v>
      </c>
      <c r="E117" s="95">
        <f>+('DOE25'!L280)+('DOE25'!L299)+('DOE25'!L318)</f>
        <v>232.96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15453.44</v>
      </c>
      <c r="D118" s="24" t="s">
        <v>289</v>
      </c>
      <c r="E118" s="95">
        <f>+('DOE25'!L281)+('DOE25'!L300)+('DOE25'!L319)</f>
        <v>12829.5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64793.57</v>
      </c>
      <c r="D119" s="24" t="s">
        <v>289</v>
      </c>
      <c r="E119" s="95">
        <f>+('DOE25'!L282)+('DOE25'!L301)+('DOE25'!L320)</f>
        <v>512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110058.16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887.66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47055.66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85348.78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153.75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2425.75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386214</v>
      </c>
      <c r="D127" s="86">
        <f>SUM(D117:D126)</f>
        <v>2425.75</v>
      </c>
      <c r="E127" s="86">
        <f>SUM(E117:E126)</f>
        <v>14462.119999999999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2425.75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9560.2200000000012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25158.84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-209.02999999999884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36935.78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1553055.54</v>
      </c>
      <c r="D144" s="86">
        <f>(D114+D127+D143)</f>
        <v>2425.75</v>
      </c>
      <c r="E144" s="86">
        <f>(E114+E127+E143)</f>
        <v>41940.479999999996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1"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MARLOW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17668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17668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749436</v>
      </c>
      <c r="D10" s="182">
        <f>ROUND((C10/$C$28)*100,1)</f>
        <v>48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407304</v>
      </c>
      <c r="D11" s="182">
        <f>ROUND((C11/$C$28)*100,1)</f>
        <v>26.1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644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63584</v>
      </c>
      <c r="D15" s="182">
        <f t="shared" ref="D15:D27" si="0">ROUND((C15/$C$28)*100,1)</f>
        <v>4.0999999999999996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28283</v>
      </c>
      <c r="D16" s="182">
        <f t="shared" si="0"/>
        <v>1.8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65459</v>
      </c>
      <c r="D17" s="182">
        <f t="shared" si="0"/>
        <v>4.2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110058</v>
      </c>
      <c r="D18" s="182">
        <f t="shared" si="0"/>
        <v>7.1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888</v>
      </c>
      <c r="D19" s="182">
        <f t="shared" si="0"/>
        <v>0.1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47056</v>
      </c>
      <c r="D20" s="182">
        <f t="shared" si="0"/>
        <v>3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85349</v>
      </c>
      <c r="D21" s="182">
        <f t="shared" si="0"/>
        <v>5.5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2426</v>
      </c>
      <c r="D27" s="182">
        <f t="shared" si="0"/>
        <v>0.2</v>
      </c>
    </row>
    <row r="28" spans="1:4" x14ac:dyDescent="0.2">
      <c r="B28" s="187" t="s">
        <v>723</v>
      </c>
      <c r="C28" s="180">
        <f>SUM(C10:C27)</f>
        <v>1560487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1560487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928286</v>
      </c>
      <c r="D35" s="182">
        <f t="shared" ref="D35:D40" si="1">ROUND((C35/$C$41)*100,1)</f>
        <v>53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6264.0600000000559</v>
      </c>
      <c r="D36" s="182">
        <f t="shared" si="1"/>
        <v>0.4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733251</v>
      </c>
      <c r="D37" s="182">
        <f t="shared" si="1"/>
        <v>41.9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25780</v>
      </c>
      <c r="D38" s="182">
        <f t="shared" si="1"/>
        <v>1.5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58378</v>
      </c>
      <c r="D39" s="182">
        <f t="shared" si="1"/>
        <v>3.3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1751959.06</v>
      </c>
      <c r="D41" s="184">
        <f>SUM(D35:D40)</f>
        <v>100.1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MARLOW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B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2013-08-28T18:50:15Z</cp:lastPrinted>
  <dcterms:created xsi:type="dcterms:W3CDTF">1997-12-04T19:04:30Z</dcterms:created>
  <dcterms:modified xsi:type="dcterms:W3CDTF">2013-09-06T16:34:26Z</dcterms:modified>
</cp:coreProperties>
</file>